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R:\DEFI\S_E_T\Teams\Origination_France\_2021\NEXANS\Simulateurs\Simulateurs pays\Version sans macro\"/>
    </mc:Choice>
  </mc:AlternateContent>
  <xr:revisionPtr revIDLastSave="0" documentId="13_ncr:1_{9BD38A2F-7EAC-415E-B82B-12E7C61C00DA}" xr6:coauthVersionLast="47" xr6:coauthVersionMax="47" xr10:uidLastSave="{00000000-0000-0000-0000-000000000000}"/>
  <workbookProtection workbookAlgorithmName="SHA-512" workbookHashValue="amjgiZaYiZu4yTHkCK3ZndFBLIJfm+qta5uwCnYLTzZE/QR0rAyngfnwv6K+eYHbc0LrVVXwLGg2Xz3BPnQfuQ==" workbookSaltValue="L8zsjMOpCKK8PY9u1qH0Ug==" workbookSpinCount="100000" lockStructure="1"/>
  <bookViews>
    <workbookView showSheetTabs="0" xWindow="28680" yWindow="-120" windowWidth="29040" windowHeight="15840" xr2:uid="{00000000-000D-0000-FFFF-FFFF00000000}"/>
  </bookViews>
  <sheets>
    <sheet name="Main" sheetId="1" r:id="rId1"/>
    <sheet name="Data" sheetId="12" state="veryHidden" r:id="rId2"/>
    <sheet name="Text" sheetId="17" state="veryHidden" r:id="rId3"/>
  </sheets>
  <definedNames>
    <definedName name="_UNDO_UPS_" localSheetId="2" hidden="1">#REF!</definedName>
    <definedName name="_UNDO_UPS_" hidden="1">#REF!</definedName>
    <definedName name="_UNDO_UPS_SEL_" localSheetId="2" hidden="1">#REF!</definedName>
    <definedName name="_UNDO_UPS_SEL_" hidden="1">#REF!</definedName>
    <definedName name="_UNDO31X31X_" localSheetId="2" hidden="1">#REF!</definedName>
    <definedName name="_UNDO31X31X_" hidden="1">#REF!</definedName>
    <definedName name="Abondement_devise">Main!$P$24</definedName>
    <definedName name="Abondement_EUR">Main!$P$32</definedName>
    <definedName name="Amount1">Text!$E$31</definedName>
    <definedName name="Amount2">Text!$E$33</definedName>
    <definedName name="Amount3">Text!$F$31</definedName>
    <definedName name="Amount4">Text!$G$31</definedName>
    <definedName name="APmin">Data!$C$16</definedName>
    <definedName name="APmin_devise">Data!$C$17</definedName>
    <definedName name="Apport">Main!$H$24</definedName>
    <definedName name="ApportEUR">Main!$H$32</definedName>
    <definedName name="Avoirs_1">Main!$H$45</definedName>
    <definedName name="Avoirs_2">Main!$H$47</definedName>
    <definedName name="Avoirs_3">Main!$P$45</definedName>
    <definedName name="Avoirs_4">Main!$H$58</definedName>
    <definedName name="AvoirsTotaux">Main!$H$69</definedName>
    <definedName name="AvoirsTotauxEUR">Main!$H$61</definedName>
    <definedName name="Blocage">Data!$C$14</definedName>
    <definedName name="ColumnsWidth">Data!$C$7</definedName>
    <definedName name="Currency_code">Data!$C$3</definedName>
    <definedName name="Currency_initialFX" localSheetId="2">Data!$C$17</definedName>
    <definedName name="Currency_initialFX">Data!$C$6</definedName>
    <definedName name="Currency_name">Data!$C$4</definedName>
    <definedName name="Currency_par">Data!$C$5</definedName>
    <definedName name="DataColumn1">Main!$H:$H</definedName>
    <definedName name="DataColumn2">Main!$P:$P</definedName>
    <definedName name="Décote">Data!$C$9</definedName>
    <definedName name="Developer_ModeTrueFalse">Main!$D$90</definedName>
    <definedName name="HausseMoyenne">Main!$H$54</definedName>
    <definedName name="HiddenRowsEtape1">Main!$87:$99</definedName>
    <definedName name="Hyp_finalFX">Main!$H$67</definedName>
    <definedName name="Hyp_initialFX">Main!$H$30</definedName>
    <definedName name="Levier">Data!$C$10</definedName>
    <definedName name="Multiple">Data!$C$11</definedName>
    <definedName name="Periode_Reservation">Main!$D$94</definedName>
    <definedName name="Plafond_période2">Main!$F$99</definedName>
    <definedName name="PlafondApport">Main!$P$16</definedName>
    <definedName name="PlafondPEE">Main!$F$98</definedName>
    <definedName name="RAB">Main!$P$11</definedName>
    <definedName name="Respect_Plafond">Main!$H$98</definedName>
    <definedName name="Rows_FXfinal">Main!$61:$68</definedName>
    <definedName name="Rows_FXinitial">Main!$29:$34</definedName>
    <definedName name="Rows_RSP_INT">Main!$22:$23</definedName>
    <definedName name="ScrollValue_CF">Main!$D$98</definedName>
    <definedName name="ScrollValue_CMF">Main!$D$97</definedName>
    <definedName name="SpreadsheetBuilder_1" localSheetId="2" hidden="1">#REF!</definedName>
    <definedName name="SpreadsheetBuilder_1" hidden="1">#REF!</definedName>
    <definedName name="StartCell">Main!$I$2</definedName>
    <definedName name="UnlockedCell1">Main!$H$49</definedName>
    <definedName name="User_ModeTrueFalse">Main!$D$91</definedName>
    <definedName name="VBAmsg0">Text!$E$17</definedName>
    <definedName name="VBAmsg1">Text!$F$18</definedName>
    <definedName name="VBAmsg2">Text!$E$29</definedName>
    <definedName name="VBAmsg3">Text!$F$29</definedName>
    <definedName name="VBAmsg4">Text!$G$29</definedName>
    <definedName name="VBAmsg5">Text!$H$29</definedName>
    <definedName name="VBAmsg6">Text!$E$37</definedName>
    <definedName name="VBAmsg7">Text!$E$56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7" i="1" l="1"/>
  <c r="H68" i="1" l="1"/>
  <c r="B75" i="1" l="1"/>
  <c r="I30" i="1" l="1"/>
  <c r="C15" i="1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99" i="1" l="1"/>
  <c r="F98" i="1"/>
  <c r="H29" i="17" l="1"/>
  <c r="J67" i="1" l="1"/>
  <c r="H32" i="1" l="1"/>
  <c r="C7" i="12"/>
  <c r="C5" i="12"/>
  <c r="C3" i="12"/>
  <c r="C17" i="12" l="1"/>
  <c r="E31" i="17" s="1"/>
  <c r="C6" i="12"/>
  <c r="B6" i="12"/>
  <c r="P32" i="1"/>
  <c r="P24" i="1" s="1"/>
  <c r="E79" i="1"/>
  <c r="E77" i="1"/>
  <c r="C56" i="1"/>
  <c r="C43" i="1"/>
  <c r="C66" i="1"/>
  <c r="C64" i="1"/>
  <c r="C51" i="1" l="1"/>
  <c r="C71" i="1"/>
  <c r="C70" i="1"/>
  <c r="C73" i="1"/>
  <c r="K73" i="1"/>
  <c r="C58" i="1"/>
  <c r="K45" i="1"/>
  <c r="C47" i="1"/>
  <c r="C45" i="1"/>
  <c r="H54" i="1"/>
  <c r="H41" i="1"/>
  <c r="C38" i="1"/>
  <c r="C34" i="1"/>
  <c r="K32" i="1"/>
  <c r="C32" i="1"/>
  <c r="C30" i="1"/>
  <c r="K24" i="1"/>
  <c r="C28" i="1"/>
  <c r="C24" i="1"/>
  <c r="C22" i="1"/>
  <c r="B20" i="1"/>
  <c r="D16" i="1"/>
  <c r="A13" i="1"/>
  <c r="C14" i="1"/>
  <c r="C13" i="1"/>
  <c r="C11" i="1"/>
  <c r="C9" i="1"/>
  <c r="B7" i="1"/>
  <c r="B4" i="1"/>
  <c r="B2" i="1"/>
  <c r="B69" i="1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36" i="12"/>
  <c r="C11" i="12" l="1"/>
  <c r="B5" i="12"/>
  <c r="F29" i="17" l="1"/>
  <c r="F30" i="1"/>
  <c r="K34" i="1" l="1"/>
  <c r="H99" i="1"/>
  <c r="P16" i="1" l="1"/>
  <c r="E33" i="17" s="1"/>
  <c r="G31" i="17" l="1"/>
  <c r="G29" i="17" s="1"/>
  <c r="B18" i="1"/>
  <c r="H28" i="1"/>
  <c r="H98" i="1"/>
  <c r="C14" i="12"/>
  <c r="E29" i="17" l="1"/>
  <c r="C18" i="1" s="1"/>
  <c r="H45" i="1"/>
  <c r="C23" i="12"/>
  <c r="F23" i="12" s="1"/>
  <c r="F22" i="12"/>
  <c r="H58" i="1" l="1"/>
  <c r="P45" i="1"/>
  <c r="H47" i="1"/>
  <c r="F24" i="12"/>
  <c r="P34" i="1" l="1"/>
  <c r="H61" i="1" l="1"/>
  <c r="H69" i="1" s="1"/>
  <c r="H71" i="1" l="1"/>
  <c r="H70" i="1"/>
  <c r="C69" i="1"/>
  <c r="C61" i="1"/>
  <c r="P28" i="1"/>
  <c r="F67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Natixis</author>
  </authors>
  <commentList>
    <comment ref="P11" authorId="0" shapeId="0" xr:uid="{E685DF39-704A-490F-A98D-EE8BFCAB0536}">
      <text>
        <r>
          <rPr>
            <sz val="8"/>
            <color indexed="9"/>
            <rFont val="Arial"/>
            <family val="2"/>
          </rPr>
          <t xml:space="preserve">请输入您2022年预估年收入总额。
</t>
        </r>
        <r>
          <rPr>
            <sz val="2"/>
            <color indexed="9"/>
            <rFont val="Arial"/>
            <family val="2"/>
          </rPr>
          <t xml:space="preserve"> 
</t>
        </r>
        <r>
          <rPr>
            <sz val="8"/>
            <color indexed="9"/>
            <rFont val="Arial"/>
            <family val="2"/>
          </rPr>
          <t xml:space="preserve">您2022年的预估年收入总额包括已经收到的及预计在2022年12月31日前收到的金额。
</t>
        </r>
        <r>
          <rPr>
            <sz val="2"/>
            <color indexed="9"/>
            <rFont val="Arial"/>
            <family val="2"/>
          </rPr>
          <t xml:space="preserve"> 
</t>
        </r>
        <r>
          <rPr>
            <sz val="8"/>
            <color indexed="9"/>
            <rFont val="Arial"/>
            <family val="2"/>
          </rPr>
          <t xml:space="preserve">您可以通过计算您的固定工资上加上2022年支付的可变因素（奖金、2021年的可变报酬......）来预估2022年的年总收入。
</t>
        </r>
        <r>
          <rPr>
            <sz val="2"/>
            <color indexed="9"/>
            <rFont val="Arial"/>
            <family val="2"/>
          </rPr>
          <t xml:space="preserve"> 
</t>
        </r>
        <r>
          <rPr>
            <sz val="8"/>
            <color indexed="9"/>
            <rFont val="Arial"/>
            <family val="2"/>
          </rPr>
          <t>您作为耐克森集团的员工所获得的收入均应被考虑在内。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Natixis</author>
  </authors>
  <commentList>
    <comment ref="E29" authorId="0" shapeId="0" xr:uid="{61AF586B-177F-4EE3-AEE6-F48C4BC9FE4A}">
      <text>
        <r>
          <rPr>
            <b/>
            <sz val="9"/>
            <color indexed="81"/>
            <rFont val="Tahoma"/>
            <family val="2"/>
          </rPr>
          <t xml:space="preserve">message appearing when selection the cell
</t>
        </r>
      </text>
    </comment>
    <comment ref="F29" authorId="0" shapeId="0" xr:uid="{6630D303-4637-4F48-A09C-C4E29EAC578E}">
      <text>
        <r>
          <rPr>
            <b/>
            <sz val="9"/>
            <color indexed="81"/>
            <rFont val="Tahoma"/>
            <family val="2"/>
          </rPr>
          <t xml:space="preserve">message appearing in case the personal contribution is too low
</t>
        </r>
      </text>
    </comment>
    <comment ref="G29" authorId="0" shapeId="0" xr:uid="{DF0F7AB5-9799-4AC6-9C0B-DF6EA4FBA37E}">
      <text>
        <r>
          <rPr>
            <b/>
            <sz val="9"/>
            <color indexed="81"/>
            <rFont val="Tahoma"/>
            <family val="2"/>
          </rPr>
          <t>message appearing in case the personal contribution exceeds the limit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A4373E67-64F5-4F8F-A87A-E58BCE0819C4}">
      <text>
        <r>
          <rPr>
            <b/>
            <sz val="9"/>
            <color indexed="81"/>
            <rFont val="Tahoma"/>
            <family val="2"/>
          </rPr>
          <t>message appearing in case the user fills the personal contribution cell but did not enter its estimated gross income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<sst xmlns="http://schemas.openxmlformats.org/spreadsheetml/2006/main" count="290" uniqueCount="199">
  <si>
    <t>Levier</t>
  </si>
  <si>
    <t>Tranche 1</t>
  </si>
  <si>
    <t>Tranche 2</t>
  </si>
  <si>
    <t>de</t>
  </si>
  <si>
    <t>à</t>
  </si>
  <si>
    <t>montant max (brut)</t>
  </si>
  <si>
    <t>Multiple</t>
  </si>
  <si>
    <t>Date de commencement</t>
  </si>
  <si>
    <t>Plafond</t>
  </si>
  <si>
    <t>Date d'échéance</t>
  </si>
  <si>
    <t>taux</t>
  </si>
  <si>
    <t xml:space="preserve">Règle 2 : </t>
  </si>
  <si>
    <t>Règle 1 :</t>
  </si>
  <si>
    <t>Situation :</t>
  </si>
  <si>
    <t>Réservation</t>
  </si>
  <si>
    <t>Souscription</t>
  </si>
  <si>
    <t>Respect plafond ?</t>
  </si>
  <si>
    <t>Barème d'abondement</t>
  </si>
  <si>
    <t>Tranche</t>
  </si>
  <si>
    <t>(= complément bancaire)</t>
  </si>
  <si>
    <t>Durée de blocage</t>
  </si>
  <si>
    <t xml:space="preserve">Mode : </t>
  </si>
  <si>
    <t>Développeur</t>
  </si>
  <si>
    <t xml:space="preserve">Utilisateur : </t>
  </si>
  <si>
    <t>Décote</t>
  </si>
  <si>
    <t>EXCEL</t>
  </si>
  <si>
    <t>I/O</t>
  </si>
  <si>
    <t>VBA MESSAGES</t>
  </si>
  <si>
    <t>Title</t>
  </si>
  <si>
    <t>Subtitle</t>
  </si>
  <si>
    <t>Title section 1</t>
  </si>
  <si>
    <t>Gross income N</t>
  </si>
  <si>
    <t>EUR</t>
  </si>
  <si>
    <t>max personal contribution</t>
  </si>
  <si>
    <t>personal contribution</t>
  </si>
  <si>
    <t>Min investment</t>
  </si>
  <si>
    <t>Protected avg increase</t>
  </si>
  <si>
    <t>%</t>
  </si>
  <si>
    <t>Footnote price</t>
  </si>
  <si>
    <t>Footnote tax</t>
  </si>
  <si>
    <t>Performance - total</t>
  </si>
  <si>
    <t>Performance - annual</t>
  </si>
  <si>
    <t>Warning</t>
  </si>
  <si>
    <t>Disclaimer</t>
  </si>
  <si>
    <t>leveraged formula</t>
  </si>
  <si>
    <t>inputs</t>
  </si>
  <si>
    <t>Legend:</t>
  </si>
  <si>
    <t>matching contribution</t>
  </si>
  <si>
    <t>outputs</t>
  </si>
  <si>
    <t>specificities</t>
  </si>
  <si>
    <r>
      <rPr>
        <b/>
        <sz val="9"/>
        <color rgb="FFFF3399"/>
        <rFont val="Arial"/>
        <family val="2"/>
      </rPr>
      <t>X</t>
    </r>
    <r>
      <rPr>
        <sz val="8"/>
        <color theme="1"/>
        <rFont val="Arial"/>
        <family val="2"/>
      </rPr>
      <t>: calculated in Excel</t>
    </r>
  </si>
  <si>
    <t>Reservation</t>
  </si>
  <si>
    <t>or</t>
  </si>
  <si>
    <t>Subscription</t>
  </si>
  <si>
    <t>Ccy</t>
  </si>
  <si>
    <t>FX rate at inception</t>
  </si>
  <si>
    <t>personal contribution in €</t>
  </si>
  <si>
    <t>matching contribution in €</t>
  </si>
  <si>
    <t>Final price</t>
  </si>
  <si>
    <t>Footnote dividends</t>
  </si>
  <si>
    <t>Message FX</t>
  </si>
  <si>
    <t>FX rate at maturity</t>
  </si>
  <si>
    <t>Total assets value Ccy</t>
  </si>
  <si>
    <t>additions</t>
  </si>
  <si>
    <t>text changes</t>
  </si>
  <si>
    <t>non-EUR elements</t>
  </si>
  <si>
    <r>
      <rPr>
        <b/>
        <sz val="9"/>
        <color rgb="FFFF6600"/>
        <rFont val="Arial"/>
        <family val="2"/>
      </rPr>
      <t>X</t>
    </r>
    <r>
      <rPr>
        <sz val="8"/>
        <color theme="1"/>
        <rFont val="Arial"/>
        <family val="2"/>
      </rPr>
      <t>: currency to adapt</t>
    </r>
  </si>
  <si>
    <t>Hyp Hausse moy</t>
  </si>
  <si>
    <t>Hyp Hausse finale</t>
  </si>
  <si>
    <t>NZD</t>
  </si>
  <si>
    <t>Nom devise</t>
  </si>
  <si>
    <t>Apport personnel min (EUR)</t>
  </si>
  <si>
    <t>Apport personnel min (devise)</t>
  </si>
  <si>
    <t>Symbole devise</t>
  </si>
  <si>
    <t>Country</t>
  </si>
  <si>
    <t>Structure</t>
  </si>
  <si>
    <t>Sub-structure</t>
  </si>
  <si>
    <t>AUSTRALIA</t>
  </si>
  <si>
    <t>SAR</t>
  </si>
  <si>
    <t>Direct+SAR</t>
  </si>
  <si>
    <t>AUD</t>
  </si>
  <si>
    <t>BELGIUM</t>
  </si>
  <si>
    <t>FCPE Nexans Plus 2022 B</t>
  </si>
  <si>
    <t>BRAZIL</t>
  </si>
  <si>
    <t>FCPE Nexans Plus 2022 A</t>
  </si>
  <si>
    <t>BRL</t>
  </si>
  <si>
    <t>CANADA</t>
  </si>
  <si>
    <t>CAD</t>
  </si>
  <si>
    <t>CHILE</t>
  </si>
  <si>
    <t>CLP</t>
  </si>
  <si>
    <t>CHINA</t>
  </si>
  <si>
    <t>FCPE+SAR</t>
  </si>
  <si>
    <t>CNY</t>
  </si>
  <si>
    <t>COLOMBIA</t>
  </si>
  <si>
    <t>COP</t>
  </si>
  <si>
    <t>FRANCE</t>
  </si>
  <si>
    <t>FCPE Nexans Plus 2022 C</t>
  </si>
  <si>
    <t>GERMANY</t>
  </si>
  <si>
    <t>GHANA</t>
  </si>
  <si>
    <t>GHS</t>
  </si>
  <si>
    <t>GREECE</t>
  </si>
  <si>
    <t>ITALY</t>
  </si>
  <si>
    <t>IVORY COAST</t>
  </si>
  <si>
    <t>XOF</t>
  </si>
  <si>
    <t>JAPAN</t>
  </si>
  <si>
    <t>JPY</t>
  </si>
  <si>
    <t>LEBANON</t>
  </si>
  <si>
    <t>USD</t>
  </si>
  <si>
    <t>MOROCCO</t>
  </si>
  <si>
    <t>MAR</t>
  </si>
  <si>
    <t>NEW ZEALAND</t>
  </si>
  <si>
    <t>NORWAY</t>
  </si>
  <si>
    <t>NOK</t>
  </si>
  <si>
    <t>PERU</t>
  </si>
  <si>
    <t>PEN</t>
  </si>
  <si>
    <t>SOUTH KOREA</t>
  </si>
  <si>
    <t>KRW</t>
  </si>
  <si>
    <t>SPAIN</t>
  </si>
  <si>
    <t>SWEDEN</t>
  </si>
  <si>
    <t>SEK</t>
  </si>
  <si>
    <t>SWITZERLAND</t>
  </si>
  <si>
    <t>CHF</t>
  </si>
  <si>
    <t>TURKEY</t>
  </si>
  <si>
    <t>TRY</t>
  </si>
  <si>
    <t>USA</t>
  </si>
  <si>
    <t>Currency name</t>
  </si>
  <si>
    <t>Currency code</t>
  </si>
  <si>
    <t>Pays</t>
  </si>
  <si>
    <t>Indicative FX EUR/Ccy</t>
  </si>
  <si>
    <t>Sens change affiché</t>
  </si>
  <si>
    <t>Largeur colonne</t>
  </si>
  <si>
    <t>normal</t>
  </si>
  <si>
    <t>large</t>
  </si>
  <si>
    <t>Multiples</t>
  </si>
  <si>
    <t>Units (personal contr.)</t>
  </si>
  <si>
    <t>Units (matching contr.)</t>
  </si>
  <si>
    <t>SAR indemnity</t>
  </si>
  <si>
    <t>SAR upside</t>
  </si>
  <si>
    <t>+</t>
  </si>
  <si>
    <t>=</t>
  </si>
  <si>
    <t xml:space="preserve"> (1)</t>
  </si>
  <si>
    <t>Total assets value EUR</t>
  </si>
  <si>
    <t>Body disclaimer</t>
  </si>
  <si>
    <t/>
  </si>
  <si>
    <t>模拟计算器</t>
  </si>
  <si>
    <t>这个模拟器可以让您预估自己的ACT 2022认购限额，以及投资收益。</t>
  </si>
  <si>
    <t>您的ACT 2022认购限额是多少呢？</t>
  </si>
  <si>
    <t>鉴于SAR机制的优势，您在ACT 2022中的个人认购额的6倍最多等于你2022年估计年薪总额的25%。更多细节，请参考ACT 2022 手册。</t>
  </si>
  <si>
    <t>您在2022年5月9日至24日的预订期内进行认购。</t>
  </si>
  <si>
    <t>或者</t>
  </si>
  <si>
    <t>您未在预订期内认购，但希望在撤销调整期（2022年6月23日至28日）进行认购。</t>
  </si>
  <si>
    <t>为了计算您ACT 2022年的认购限额，请输入您大致的2022年税前年薪（包含奖金）</t>
  </si>
  <si>
    <t>您ACT 2022可认购的上限为：</t>
  </si>
  <si>
    <t>ACT 2022可以带来多少收益？</t>
  </si>
  <si>
    <t>您希望根据耐克森股价的变化，计算出您在计划结束时可能得到的金额。</t>
  </si>
  <si>
    <t>您的个人认购金额（在Actionnariat Nexans项下的）</t>
  </si>
  <si>
    <t>占最高限额的%</t>
  </si>
  <si>
    <t>公司匹配部分（在Actionnariat Nexans项下的）</t>
  </si>
  <si>
    <t>然后，折算成欧元，您的个人出资为：</t>
  </si>
  <si>
    <t>最低个人认购额为10欧元。</t>
  </si>
  <si>
    <t>假设被保护的平均值在5年间增长</t>
  </si>
  <si>
    <t>假设耐克森股价在5年锁定期到期时为：</t>
  </si>
  <si>
    <t>(1）与耐克森股价的参考价格相比</t>
  </si>
  <si>
    <t>基于您的个人出资，您所认购的Actionnariat Nexans单位价值 **</t>
  </si>
  <si>
    <t>基于匹配部分，您所认购的Actionnariat Nexans单位价值 *</t>
  </si>
  <si>
    <t>SAR保障：对您个人欧元出资的保护 *</t>
  </si>
  <si>
    <t>SAR奖励：受保护的平均值增长的乘数系数 *</t>
  </si>
  <si>
    <t>您5年后的计划对应欧元总资产 * **</t>
  </si>
  <si>
    <t>(*) 在扣除个税和社保之前</t>
  </si>
  <si>
    <t>(**) Actionnariat Nexans fund可能带来的股息红利除外</t>
  </si>
  <si>
    <t>您的资产对应人民币总价值将受到5年锁定期结束后的人民币对欧元汇率影响</t>
  </si>
  <si>
    <t>假设锁定期结束时人民币对欧元汇率为：</t>
  </si>
  <si>
    <t>计划开始和结束时汇率无变化</t>
  </si>
  <si>
    <t>假设欧元对人民币升值</t>
  </si>
  <si>
    <t>从计划开始到结束</t>
  </si>
  <si>
    <t>假设欧元对人民币贬值</t>
  </si>
  <si>
    <t>5年锁定期后您的账户人民币总额 * **</t>
  </si>
  <si>
    <t>总收益（基于您个人出资部分）* **</t>
  </si>
  <si>
    <t>年化收益（基于您个人出资部分）* **</t>
  </si>
  <si>
    <t>%/年</t>
  </si>
  <si>
    <t>请注意：</t>
  </si>
  <si>
    <t>被保护的平均值的增长是基于60个月读取数据的平均值来计算，而非耐克森的最终股价。</t>
  </si>
  <si>
    <t>重要信息：</t>
  </si>
  <si>
    <t>模拟计算器仅帮助您计算在ACT 2022中您可能获得的收益。您最终的投资收益由以下几个点决定：(i) t受保护的平均值在5年间的增长, (ii) 5年锁定期结束 后耐克森的股价, (iii) Actionnariat Nexans是否产生股息红利，以及 (iv) 人民币和欧元的汇率。耐克森未来的股价和人民币与欧元的汇率是无法被保证的， 其他可能对您的投资产生影响的因素本模拟计算器也并未包含（比如潜在的股息红利和个税及社保的影响）。更多可能对您投资产生影响的因素，您可以参考ACT 2022手册，关于SAR股票增值权，您也可以在本地附录及KIIDs中找到相关信息。</t>
  </si>
  <si>
    <t>在此阶段认购，您认购额的6倍不得高于您年薪的2.5%。</t>
  </si>
  <si>
    <t>请输入您2022年预估年收入总额。
您2022年的预估年收入总额包括已经收到的及预计在2022年12月31日前收到的金额。
您可以通过计算您的固定工资上加上2022年支付的可变因素（奖金、2021年的可变报酬......）来预估2022年的年总收入。
您作为耐克森集团的员工所获得的收入均应被考虑在内。</t>
  </si>
  <si>
    <t>如果您的税前年收入折算成ACT 2022年欧元认购额低于10欧元的话，请联系您的HR。</t>
  </si>
  <si>
    <t>您的认购不能超过</t>
  </si>
  <si>
    <t>在Act 2022计划中</t>
  </si>
  <si>
    <t>请先输入您预估的2022税前总收入</t>
  </si>
  <si>
    <t>您輸入的個人供款金額不符合投資限額。</t>
  </si>
  <si>
    <t>請輸入初始匯率假設。</t>
  </si>
  <si>
    <t>請輸入最終匯率假設。</t>
  </si>
  <si>
    <t>(Act 2022年个人最低认购额为10欧元) 最高为</t>
  </si>
  <si>
    <t>输入您想要认购的Act 2022年的金额请注意：您的个人出资至少需要等于</t>
  </si>
  <si>
    <t>歐元</t>
  </si>
  <si>
    <t>欧元</t>
  </si>
  <si>
    <t>如果初始人民幣/歐元匯率為：</t>
  </si>
  <si>
    <r>
      <t>公司的匹配部分为,</t>
    </r>
    <r>
      <rPr>
        <sz val="9"/>
        <color rgb="FFFF0000"/>
        <rFont val="Arial"/>
        <family val="2"/>
      </rPr>
      <t>欧元計：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</si>
</sst>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0\ &quot;€&quot;"/>
    <numFmt numFmtId="166" formatCode="0.0%"/>
    <numFmt numFmtId="167" formatCode="0.0000"/>
    <numFmt numFmtId="168" formatCode="0.00&quot; ans&quot;"/>
    <numFmt numFmtId="169" formatCode="#,##0.00\ [$EUR]"/>
    <numFmt numFmtId="170" formatCode="#,##0.00\ [$NZD]"/>
    <numFmt numFmtId="171" formatCode="[$EUR]\ #,##0.00"/>
    <numFmt numFmtId="172" formatCode="\+0%;\-0%;0%"/>
    <numFmt numFmtId="173" formatCode="[$CNY]\ #,##0.00"/>
  </numFmts>
  <fonts count="68" x14ac:knownFonts="1"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i/>
      <sz val="8"/>
      <color theme="9"/>
      <name val="Arial"/>
      <family val="2"/>
    </font>
    <font>
      <i/>
      <sz val="8"/>
      <color theme="1" tint="0.499984740745262"/>
      <name val="Arial"/>
      <family val="2"/>
    </font>
    <font>
      <i/>
      <sz val="8"/>
      <color rgb="FF717171"/>
      <name val="Arial"/>
      <family val="2"/>
    </font>
    <font>
      <sz val="8"/>
      <color theme="1"/>
      <name val="Symbol"/>
      <family val="1"/>
      <charset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0" tint="-0.499984740745262"/>
      <name val="Arial"/>
      <family val="2"/>
    </font>
    <font>
      <sz val="10"/>
      <name val="Arial"/>
      <family val="2"/>
    </font>
    <font>
      <i/>
      <sz val="8"/>
      <color theme="0" tint="-0.14999847407452621"/>
      <name val="Arial"/>
      <family val="2"/>
    </font>
    <font>
      <sz val="8"/>
      <color theme="1" tint="-0.249977111117893"/>
      <name val="Arial"/>
      <family val="2"/>
    </font>
    <font>
      <sz val="8"/>
      <color theme="1" tint="-0.499984740745262"/>
      <name val="Arial"/>
      <family val="2"/>
    </font>
    <font>
      <i/>
      <sz val="7.5"/>
      <color theme="1"/>
      <name val="Arial"/>
      <family val="2"/>
    </font>
    <font>
      <b/>
      <sz val="8"/>
      <color theme="1" tint="-0.499984740745262"/>
      <name val="Arial"/>
      <family val="2"/>
    </font>
    <font>
      <u/>
      <sz val="8"/>
      <color theme="1"/>
      <name val="Arial"/>
      <family val="2"/>
    </font>
    <font>
      <i/>
      <sz val="8"/>
      <color theme="1" tint="-0.499984740745262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8"/>
      <color theme="0" tint="-0.499984740745262"/>
      <name val="Arial"/>
      <family val="2"/>
    </font>
    <font>
      <b/>
      <i/>
      <sz val="8"/>
      <color rgb="FFFF0000"/>
      <name val="Arial"/>
      <family val="2"/>
    </font>
    <font>
      <i/>
      <sz val="8"/>
      <name val="Arial"/>
      <family val="2"/>
    </font>
    <font>
      <sz val="16"/>
      <color theme="1"/>
      <name val="Arial"/>
      <family val="2"/>
    </font>
    <font>
      <i/>
      <sz val="7"/>
      <color theme="1"/>
      <name val="Arial"/>
      <family val="2"/>
    </font>
    <font>
      <i/>
      <sz val="7"/>
      <color theme="1" tint="-0.499984740745262"/>
      <name val="Arial"/>
      <family val="2"/>
    </font>
    <font>
      <u/>
      <sz val="16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color rgb="FFFF339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theme="2" tint="-0.249977111117893"/>
      <name val="Arial"/>
      <family val="2"/>
    </font>
    <font>
      <b/>
      <sz val="14"/>
      <color theme="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16"/>
      <color theme="0" tint="-0.499984740745262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i/>
      <sz val="7"/>
      <color theme="9" tint="-0.749992370372631"/>
      <name val="Arial"/>
      <family val="2"/>
    </font>
    <font>
      <b/>
      <sz val="16"/>
      <color theme="9" tint="-0.499984740745262"/>
      <name val="Arial"/>
      <family val="2"/>
    </font>
    <font>
      <vertAlign val="superscript"/>
      <sz val="8"/>
      <color theme="1"/>
      <name val="Arial"/>
      <family val="2"/>
    </font>
    <font>
      <i/>
      <sz val="8"/>
      <color rgb="FF4D758C"/>
      <name val="Arial"/>
      <family val="2"/>
    </font>
    <font>
      <b/>
      <sz val="8"/>
      <color theme="3"/>
      <name val="Arial"/>
      <family val="2"/>
    </font>
    <font>
      <i/>
      <sz val="7"/>
      <color theme="1" tint="0.249977111117893"/>
      <name val="Arial"/>
      <family val="2"/>
    </font>
    <font>
      <sz val="8"/>
      <color indexed="9"/>
      <name val="Arial"/>
      <family val="2"/>
    </font>
    <font>
      <sz val="2"/>
      <color indexed="9"/>
      <name val="Arial"/>
      <family val="2"/>
    </font>
    <font>
      <i/>
      <sz val="8"/>
      <color theme="8"/>
      <name val="Arial"/>
      <family val="2"/>
    </font>
    <font>
      <b/>
      <i/>
      <sz val="8"/>
      <color theme="3" tint="0.39997558519241921"/>
      <name val="Arial"/>
      <family val="2"/>
    </font>
    <font>
      <b/>
      <sz val="8"/>
      <color theme="8"/>
      <name val="Arial"/>
      <family val="2"/>
    </font>
    <font>
      <i/>
      <sz val="8"/>
      <color theme="9" tint="-0.749992370372631"/>
      <name val="Arial"/>
      <family val="2"/>
    </font>
    <font>
      <sz val="9"/>
      <color theme="9" tint="-0.749992370372631"/>
      <name val="Arial"/>
      <family val="2"/>
    </font>
    <font>
      <sz val="7"/>
      <color theme="1" tint="-0.49998474074526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Gray">
        <bgColor theme="2" tint="-9.9978637043366805E-2"/>
      </patternFill>
    </fill>
    <fill>
      <patternFill patternType="lightGray"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49B7A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2D6E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9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0" fontId="22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7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</cellStyleXfs>
  <cellXfs count="299">
    <xf numFmtId="0" fontId="0" fillId="0" borderId="0" xfId="0"/>
    <xf numFmtId="0" fontId="0" fillId="2" borderId="0" xfId="0" applyFill="1"/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0" fillId="4" borderId="0" xfId="0" applyFont="1" applyFill="1" applyBorder="1" applyProtection="1">
      <protection locked="0"/>
    </xf>
    <xf numFmtId="9" fontId="25" fillId="3" borderId="1" xfId="0" applyNumberFormat="1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14" fontId="25" fillId="3" borderId="0" xfId="0" applyNumberFormat="1" applyFont="1" applyFill="1" applyAlignment="1">
      <alignment horizontal="center"/>
    </xf>
    <xf numFmtId="168" fontId="25" fillId="2" borderId="0" xfId="0" applyNumberFormat="1" applyFont="1" applyFill="1" applyAlignment="1">
      <alignment horizontal="center"/>
    </xf>
    <xf numFmtId="165" fontId="25" fillId="3" borderId="0" xfId="0" applyNumberFormat="1" applyFont="1" applyFill="1" applyAlignment="1">
      <alignment horizontal="center"/>
    </xf>
    <xf numFmtId="165" fontId="25" fillId="3" borderId="2" xfId="0" applyNumberFormat="1" applyFont="1" applyFill="1" applyBorder="1" applyAlignment="1">
      <alignment horizontal="center"/>
    </xf>
    <xf numFmtId="9" fontId="25" fillId="3" borderId="4" xfId="0" applyNumberFormat="1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0" fontId="12" fillId="2" borderId="0" xfId="0" applyFont="1" applyFill="1" applyBorder="1" applyProtection="1">
      <protection hidden="1"/>
    </xf>
    <xf numFmtId="0" fontId="25" fillId="2" borderId="0" xfId="0" applyFont="1" applyFill="1" applyAlignment="1" applyProtection="1">
      <protection hidden="1"/>
    </xf>
    <xf numFmtId="0" fontId="25" fillId="2" borderId="0" xfId="0" applyFont="1" applyFill="1" applyProtection="1">
      <protection hidden="1"/>
    </xf>
    <xf numFmtId="0" fontId="24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Protection="1">
      <protection hidden="1"/>
    </xf>
    <xf numFmtId="165" fontId="15" fillId="2" borderId="0" xfId="0" applyNumberFormat="1" applyFont="1" applyFill="1" applyProtection="1">
      <protection hidden="1"/>
    </xf>
    <xf numFmtId="165" fontId="15" fillId="2" borderId="0" xfId="0" applyNumberFormat="1" applyFont="1" applyFill="1" applyBorder="1" applyProtection="1">
      <protection hidden="1"/>
    </xf>
    <xf numFmtId="0" fontId="16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23" fillId="2" borderId="0" xfId="0" applyFont="1" applyFill="1" applyProtection="1">
      <protection hidden="1"/>
    </xf>
    <xf numFmtId="0" fontId="15" fillId="2" borderId="0" xfId="0" applyFont="1" applyFill="1" applyBorder="1" applyProtection="1">
      <protection hidden="1"/>
    </xf>
    <xf numFmtId="0" fontId="0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65" fontId="0" fillId="4" borderId="0" xfId="0" applyNumberFormat="1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167" fontId="0" fillId="4" borderId="0" xfId="0" applyNumberFormat="1" applyFont="1" applyFill="1" applyBorder="1" applyProtection="1">
      <protection locked="0"/>
    </xf>
    <xf numFmtId="0" fontId="14" fillId="4" borderId="0" xfId="0" applyFont="1" applyFill="1" applyBorder="1" applyAlignment="1" applyProtection="1">
      <alignment horizontal="left"/>
      <protection locked="0"/>
    </xf>
    <xf numFmtId="0" fontId="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0" fillId="4" borderId="0" xfId="0" applyFont="1" applyFill="1" applyBorder="1" applyProtection="1"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165" fontId="10" fillId="4" borderId="0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65" fontId="10" fillId="4" borderId="1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right"/>
      <protection locked="0"/>
    </xf>
    <xf numFmtId="0" fontId="29" fillId="2" borderId="0" xfId="0" applyFont="1" applyFill="1" applyProtection="1">
      <protection hidden="1"/>
    </xf>
    <xf numFmtId="9" fontId="21" fillId="2" borderId="0" xfId="1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ont="1" applyFill="1" applyBorder="1" applyAlignment="1" applyProtection="1">
      <alignment horizontal="center"/>
      <protection locked="0"/>
    </xf>
    <xf numFmtId="0" fontId="27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31" fillId="2" borderId="0" xfId="0" applyFont="1" applyFill="1" applyProtection="1">
      <protection hidden="1"/>
    </xf>
    <xf numFmtId="0" fontId="21" fillId="2" borderId="0" xfId="0" applyFont="1" applyFill="1" applyProtection="1">
      <protection hidden="1"/>
    </xf>
    <xf numFmtId="0" fontId="32" fillId="2" borderId="0" xfId="0" applyFont="1" applyFill="1" applyProtection="1">
      <protection hidden="1"/>
    </xf>
    <xf numFmtId="166" fontId="33" fillId="2" borderId="0" xfId="1" applyNumberFormat="1" applyFont="1" applyFill="1" applyAlignment="1" applyProtection="1">
      <alignment horizontal="center"/>
      <protection hidden="1"/>
    </xf>
    <xf numFmtId="0" fontId="18" fillId="4" borderId="0" xfId="0" applyFont="1" applyFill="1" applyProtection="1">
      <protection hidden="1"/>
    </xf>
    <xf numFmtId="0" fontId="34" fillId="4" borderId="0" xfId="0" applyFont="1" applyFill="1" applyProtection="1">
      <protection hidden="1"/>
    </xf>
    <xf numFmtId="0" fontId="0" fillId="4" borderId="1" xfId="0" applyFont="1" applyFill="1" applyBorder="1" applyAlignment="1" applyProtection="1">
      <alignment horizontal="right"/>
      <protection locked="0"/>
    </xf>
    <xf numFmtId="0" fontId="28" fillId="4" borderId="0" xfId="0" applyFont="1" applyFill="1" applyBorder="1" applyAlignment="1" applyProtection="1">
      <alignment horizontal="right"/>
      <protection locked="0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2" fontId="25" fillId="2" borderId="0" xfId="0" applyNumberFormat="1" applyFont="1" applyFill="1" applyAlignment="1">
      <alignment horizontal="center"/>
    </xf>
    <xf numFmtId="0" fontId="27" fillId="2" borderId="0" xfId="0" applyFont="1" applyFill="1"/>
    <xf numFmtId="0" fontId="11" fillId="8" borderId="1" xfId="0" applyFont="1" applyFill="1" applyBorder="1"/>
    <xf numFmtId="0" fontId="11" fillId="8" borderId="0" xfId="0" applyFont="1" applyFill="1"/>
    <xf numFmtId="0" fontId="11" fillId="8" borderId="2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35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38" fillId="2" borderId="0" xfId="0" applyFont="1" applyFill="1" applyAlignment="1" applyProtection="1">
      <alignment vertical="center"/>
      <protection hidden="1"/>
    </xf>
    <xf numFmtId="0" fontId="28" fillId="2" borderId="0" xfId="0" applyFont="1" applyFill="1" applyProtection="1">
      <protection hidden="1"/>
    </xf>
    <xf numFmtId="165" fontId="18" fillId="2" borderId="0" xfId="0" applyNumberFormat="1" applyFont="1" applyFill="1" applyBorder="1" applyAlignment="1" applyProtection="1">
      <alignment horizontal="center"/>
      <protection hidden="1"/>
    </xf>
    <xf numFmtId="0" fontId="26" fillId="2" borderId="0" xfId="0" applyFont="1" applyFill="1" applyProtection="1"/>
    <xf numFmtId="0" fontId="0" fillId="2" borderId="0" xfId="0" applyFill="1" applyProtection="1"/>
    <xf numFmtId="0" fontId="26" fillId="2" borderId="0" xfId="0" applyFont="1" applyFill="1" applyAlignment="1" applyProtection="1">
      <alignment vertical="top" wrapText="1"/>
    </xf>
    <xf numFmtId="0" fontId="36" fillId="2" borderId="0" xfId="0" applyFont="1" applyFill="1" applyAlignment="1" applyProtection="1">
      <alignment vertical="center"/>
      <protection hidden="1"/>
    </xf>
    <xf numFmtId="9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47" fillId="24" borderId="0" xfId="0" applyFont="1" applyFill="1" applyBorder="1" applyAlignment="1" applyProtection="1">
      <alignment vertical="center"/>
      <protection hidden="1"/>
    </xf>
    <xf numFmtId="0" fontId="47" fillId="24" borderId="0" xfId="0" applyFont="1" applyFill="1" applyBorder="1" applyProtection="1"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 hidden="1"/>
    </xf>
    <xf numFmtId="0" fontId="35" fillId="2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hidden="1"/>
    </xf>
    <xf numFmtId="0" fontId="27" fillId="2" borderId="0" xfId="0" applyFont="1" applyFill="1" applyAlignment="1" applyProtection="1">
      <alignment horizontal="left" vertical="center" wrapText="1"/>
      <protection hidden="1"/>
    </xf>
    <xf numFmtId="165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29" fillId="2" borderId="16" xfId="0" applyFont="1" applyFill="1" applyBorder="1" applyAlignment="1" applyProtection="1">
      <alignment horizontal="left" vertical="center"/>
      <protection hidden="1"/>
    </xf>
    <xf numFmtId="0" fontId="0" fillId="2" borderId="16" xfId="0" applyFill="1" applyBorder="1" applyProtection="1"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23" fillId="2" borderId="0" xfId="0" applyFont="1" applyFill="1" applyBorder="1" applyProtection="1">
      <protection hidden="1"/>
    </xf>
    <xf numFmtId="165" fontId="13" fillId="2" borderId="0" xfId="0" applyNumberFormat="1" applyFont="1" applyFill="1" applyBorder="1" applyAlignment="1" applyProtection="1">
      <alignment horizontal="center" vertical="center"/>
      <protection hidden="1"/>
    </xf>
    <xf numFmtId="169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vertical="top" wrapText="1"/>
      <protection hidden="1"/>
    </xf>
    <xf numFmtId="169" fontId="49" fillId="2" borderId="0" xfId="0" applyNumberFormat="1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horizontal="left" vertical="center" wrapText="1"/>
      <protection hidden="1"/>
    </xf>
    <xf numFmtId="0" fontId="13" fillId="29" borderId="0" xfId="0" applyNumberFormat="1" applyFont="1" applyFill="1" applyAlignment="1">
      <alignment horizontal="center"/>
    </xf>
    <xf numFmtId="2" fontId="13" fillId="29" borderId="0" xfId="0" applyNumberFormat="1" applyFont="1" applyFill="1" applyAlignment="1">
      <alignment horizontal="center"/>
    </xf>
    <xf numFmtId="2" fontId="13" fillId="29" borderId="1" xfId="0" applyNumberFormat="1" applyFont="1" applyFill="1" applyBorder="1" applyAlignment="1">
      <alignment horizontal="center"/>
    </xf>
    <xf numFmtId="49" fontId="9" fillId="10" borderId="0" xfId="0" applyNumberFormat="1" applyFont="1" applyFill="1" applyAlignment="1">
      <alignment horizontal="center"/>
    </xf>
    <xf numFmtId="0" fontId="9" fillId="28" borderId="26" xfId="0" applyFont="1" applyFill="1" applyBorder="1" applyAlignment="1">
      <alignment horizontal="center" vertical="center" wrapText="1"/>
    </xf>
    <xf numFmtId="0" fontId="0" fillId="2" borderId="0" xfId="12" applyFont="1" applyFill="1" applyAlignment="1">
      <alignment horizontal="left" vertical="center"/>
    </xf>
    <xf numFmtId="49" fontId="9" fillId="28" borderId="24" xfId="0" applyNumberFormat="1" applyFont="1" applyFill="1" applyBorder="1" applyAlignment="1">
      <alignment horizontal="left" vertical="center" wrapText="1"/>
    </xf>
    <xf numFmtId="0" fontId="9" fillId="28" borderId="25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13" fillId="4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0" xfId="12" applyFont="1" applyAlignment="1">
      <alignment horizontal="left" vertical="center"/>
    </xf>
    <xf numFmtId="0" fontId="9" fillId="28" borderId="2" xfId="0" applyFont="1" applyFill="1" applyBorder="1" applyAlignment="1">
      <alignment horizontal="center" vertical="center" wrapText="1"/>
    </xf>
    <xf numFmtId="0" fontId="0" fillId="2" borderId="27" xfId="12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left"/>
    </xf>
    <xf numFmtId="0" fontId="0" fillId="2" borderId="2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center"/>
    </xf>
    <xf numFmtId="0" fontId="8" fillId="2" borderId="0" xfId="15" applyFont="1" applyFill="1"/>
    <xf numFmtId="0" fontId="5" fillId="2" borderId="0" xfId="15" applyFill="1" applyAlignment="1">
      <alignment wrapText="1"/>
    </xf>
    <xf numFmtId="0" fontId="5" fillId="2" borderId="0" xfId="15" applyFill="1"/>
    <xf numFmtId="0" fontId="41" fillId="11" borderId="0" xfId="15" applyFont="1" applyFill="1"/>
    <xf numFmtId="0" fontId="41" fillId="11" borderId="7" xfId="15" applyFont="1" applyFill="1" applyBorder="1" applyAlignment="1">
      <alignment horizontal="center"/>
    </xf>
    <xf numFmtId="0" fontId="13" fillId="12" borderId="8" xfId="15" applyFont="1" applyFill="1" applyBorder="1" applyAlignment="1">
      <alignment horizontal="left" vertical="center"/>
    </xf>
    <xf numFmtId="0" fontId="40" fillId="2" borderId="0" xfId="15" applyFont="1" applyFill="1" applyAlignment="1">
      <alignment horizontal="center" wrapText="1"/>
    </xf>
    <xf numFmtId="0" fontId="5" fillId="2" borderId="0" xfId="15" applyFill="1" applyAlignment="1">
      <alignment horizontal="center" vertical="top" wrapText="1"/>
    </xf>
    <xf numFmtId="0" fontId="5" fillId="2" borderId="0" xfId="15" applyFill="1" applyAlignment="1">
      <alignment vertical="top" wrapText="1"/>
    </xf>
    <xf numFmtId="0" fontId="5" fillId="2" borderId="0" xfId="15" applyFill="1" applyAlignment="1">
      <alignment vertical="top"/>
    </xf>
    <xf numFmtId="0" fontId="8" fillId="2" borderId="0" xfId="15" applyFont="1" applyFill="1" applyAlignment="1">
      <alignment horizontal="left" vertical="center"/>
    </xf>
    <xf numFmtId="0" fontId="5" fillId="2" borderId="0" xfId="15" applyFill="1" applyAlignment="1">
      <alignment horizontal="center" wrapText="1"/>
    </xf>
    <xf numFmtId="0" fontId="40" fillId="2" borderId="0" xfId="15" applyFont="1" applyFill="1" applyAlignment="1">
      <alignment horizontal="center" vertical="top" wrapText="1"/>
    </xf>
    <xf numFmtId="0" fontId="13" fillId="12" borderId="9" xfId="15" applyFont="1" applyFill="1" applyBorder="1" applyAlignment="1">
      <alignment horizontal="left" vertical="center"/>
    </xf>
    <xf numFmtId="0" fontId="13" fillId="16" borderId="9" xfId="15" applyFont="1" applyFill="1" applyBorder="1" applyAlignment="1">
      <alignment horizontal="left" vertical="center"/>
    </xf>
    <xf numFmtId="0" fontId="13" fillId="16" borderId="14" xfId="15" applyFont="1" applyFill="1" applyBorder="1" applyAlignment="1">
      <alignment horizontal="left" vertical="center"/>
    </xf>
    <xf numFmtId="0" fontId="13" fillId="13" borderId="14" xfId="15" applyFont="1" applyFill="1" applyBorder="1" applyAlignment="1">
      <alignment horizontal="left" vertical="center"/>
    </xf>
    <xf numFmtId="0" fontId="39" fillId="25" borderId="2" xfId="15" applyFont="1" applyFill="1" applyBorder="1" applyAlignment="1">
      <alignment vertical="top" wrapText="1"/>
    </xf>
    <xf numFmtId="0" fontId="30" fillId="18" borderId="2" xfId="15" applyFont="1" applyFill="1" applyBorder="1" applyAlignment="1">
      <alignment horizontal="center" vertical="top" wrapText="1"/>
    </xf>
    <xf numFmtId="0" fontId="13" fillId="13" borderId="9" xfId="15" applyFont="1" applyFill="1" applyBorder="1" applyAlignment="1">
      <alignment horizontal="left" vertical="top"/>
    </xf>
    <xf numFmtId="0" fontId="40" fillId="14" borderId="2" xfId="15" applyFont="1" applyFill="1" applyBorder="1" applyAlignment="1">
      <alignment horizontal="center" vertical="top" wrapText="1"/>
    </xf>
    <xf numFmtId="0" fontId="30" fillId="18" borderId="2" xfId="16" applyFont="1" applyFill="1" applyBorder="1" applyAlignment="1">
      <alignment horizontal="center" vertical="top" wrapText="1"/>
    </xf>
    <xf numFmtId="0" fontId="13" fillId="22" borderId="9" xfId="15" applyFont="1" applyFill="1" applyBorder="1" applyAlignment="1">
      <alignment horizontal="left" vertical="center"/>
    </xf>
    <xf numFmtId="0" fontId="51" fillId="2" borderId="0" xfId="12" applyFont="1" applyFill="1" applyAlignment="1">
      <alignment vertical="top" wrapText="1"/>
    </xf>
    <xf numFmtId="0" fontId="13" fillId="26" borderId="9" xfId="15" applyFont="1" applyFill="1" applyBorder="1" applyAlignment="1">
      <alignment horizontal="left" vertical="center"/>
    </xf>
    <xf numFmtId="0" fontId="13" fillId="13" borderId="9" xfId="15" applyFont="1" applyFill="1" applyBorder="1" applyAlignment="1">
      <alignment horizontal="left" vertical="center"/>
    </xf>
    <xf numFmtId="0" fontId="13" fillId="13" borderId="8" xfId="15" applyFont="1" applyFill="1" applyBorder="1" applyAlignment="1">
      <alignment horizontal="left" vertical="center"/>
    </xf>
    <xf numFmtId="0" fontId="40" fillId="14" borderId="13" xfId="15" applyFont="1" applyFill="1" applyBorder="1" applyAlignment="1">
      <alignment horizontal="center" vertical="top" wrapText="1"/>
    </xf>
    <xf numFmtId="0" fontId="13" fillId="31" borderId="9" xfId="15" applyFont="1" applyFill="1" applyBorder="1" applyAlignment="1">
      <alignment horizontal="left" vertical="center"/>
    </xf>
    <xf numFmtId="0" fontId="13" fillId="19" borderId="9" xfId="15" applyFont="1" applyFill="1" applyBorder="1" applyAlignment="1">
      <alignment horizontal="left" vertical="center"/>
    </xf>
    <xf numFmtId="0" fontId="13" fillId="32" borderId="14" xfId="15" applyFont="1" applyFill="1" applyBorder="1" applyAlignment="1">
      <alignment horizontal="left" vertical="center"/>
    </xf>
    <xf numFmtId="0" fontId="30" fillId="2" borderId="0" xfId="15" applyFont="1" applyFill="1" applyAlignment="1">
      <alignment horizontal="center" vertical="center" wrapText="1"/>
    </xf>
    <xf numFmtId="0" fontId="11" fillId="21" borderId="9" xfId="15" applyFont="1" applyFill="1" applyBorder="1" applyAlignment="1">
      <alignment horizontal="left" vertical="center"/>
    </xf>
    <xf numFmtId="0" fontId="40" fillId="2" borderId="0" xfId="15" applyFont="1" applyFill="1" applyAlignment="1">
      <alignment vertical="top" wrapText="1"/>
    </xf>
    <xf numFmtId="0" fontId="5" fillId="20" borderId="2" xfId="15" applyFill="1" applyBorder="1"/>
    <xf numFmtId="0" fontId="13" fillId="22" borderId="15" xfId="15" applyFont="1" applyFill="1" applyBorder="1" applyAlignment="1">
      <alignment horizontal="left" vertical="center"/>
    </xf>
    <xf numFmtId="0" fontId="13" fillId="15" borderId="15" xfId="15" applyFont="1" applyFill="1" applyBorder="1" applyAlignment="1">
      <alignment horizontal="left" vertical="center"/>
    </xf>
    <xf numFmtId="0" fontId="42" fillId="17" borderId="2" xfId="15" applyFont="1" applyFill="1" applyBorder="1" applyAlignment="1">
      <alignment vertical="top" wrapText="1"/>
    </xf>
    <xf numFmtId="169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53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Protection="1">
      <protection hidden="1"/>
    </xf>
    <xf numFmtId="0" fontId="5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55" fillId="2" borderId="0" xfId="0" applyFont="1" applyFill="1" applyAlignment="1" applyProtection="1">
      <alignment horizontal="center" vertical="center"/>
      <protection hidden="1"/>
    </xf>
    <xf numFmtId="0" fontId="55" fillId="2" borderId="0" xfId="0" applyFont="1" applyFill="1" applyAlignment="1" applyProtection="1">
      <alignment vertical="center"/>
      <protection hidden="1"/>
    </xf>
    <xf numFmtId="0" fontId="9" fillId="2" borderId="31" xfId="0" applyFont="1" applyFill="1" applyBorder="1" applyAlignment="1" applyProtection="1">
      <alignment horizontal="left" vertical="center" wrapText="1"/>
      <protection hidden="1"/>
    </xf>
    <xf numFmtId="0" fontId="0" fillId="2" borderId="31" xfId="0" applyFill="1" applyBorder="1" applyAlignment="1" applyProtection="1">
      <alignment horizontal="center"/>
      <protection hidden="1"/>
    </xf>
    <xf numFmtId="169" fontId="49" fillId="2" borderId="31" xfId="0" applyNumberFormat="1" applyFon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 applyProtection="1">
      <alignment horizontal="right"/>
      <protection hidden="1"/>
    </xf>
    <xf numFmtId="0" fontId="36" fillId="2" borderId="31" xfId="0" applyFont="1" applyFill="1" applyBorder="1" applyAlignment="1" applyProtection="1">
      <alignment vertical="center"/>
      <protection hidden="1"/>
    </xf>
    <xf numFmtId="9" fontId="18" fillId="2" borderId="31" xfId="0" applyNumberFormat="1" applyFont="1" applyFill="1" applyBorder="1" applyAlignment="1" applyProtection="1">
      <alignment horizontal="center" vertical="center"/>
      <protection hidden="1"/>
    </xf>
    <xf numFmtId="0" fontId="29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wrapText="1"/>
      <protection hidden="1"/>
    </xf>
    <xf numFmtId="0" fontId="55" fillId="2" borderId="0" xfId="0" applyFont="1" applyFill="1" applyAlignment="1" applyProtection="1">
      <alignment horizontal="center" vertical="center"/>
      <protection hidden="1"/>
    </xf>
    <xf numFmtId="0" fontId="13" fillId="32" borderId="10" xfId="15" applyFont="1" applyFill="1" applyBorder="1" applyAlignment="1">
      <alignment horizontal="left" vertical="center"/>
    </xf>
    <xf numFmtId="166" fontId="33" fillId="2" borderId="0" xfId="1" applyNumberFormat="1" applyFont="1" applyFill="1" applyAlignment="1" applyProtection="1">
      <alignment horizontal="center"/>
      <protection locked="0" hidden="1"/>
    </xf>
    <xf numFmtId="0" fontId="42" fillId="2" borderId="0" xfId="15" applyFont="1" applyFill="1" applyAlignment="1">
      <alignment vertical="top" wrapText="1"/>
    </xf>
    <xf numFmtId="0" fontId="42" fillId="2" borderId="0" xfId="15" applyFont="1" applyFill="1" applyAlignment="1">
      <alignment wrapText="1"/>
    </xf>
    <xf numFmtId="0" fontId="42" fillId="2" borderId="0" xfId="15" applyFont="1" applyFill="1"/>
    <xf numFmtId="0" fontId="42" fillId="17" borderId="11" xfId="15" applyFont="1" applyFill="1" applyBorder="1" applyAlignment="1">
      <alignment vertical="top" wrapText="1"/>
    </xf>
    <xf numFmtId="0" fontId="5" fillId="2" borderId="29" xfId="15" applyFill="1" applyBorder="1" applyAlignment="1">
      <alignment wrapText="1"/>
    </xf>
    <xf numFmtId="171" fontId="18" fillId="2" borderId="5" xfId="0" applyNumberFormat="1" applyFont="1" applyFill="1" applyBorder="1" applyAlignment="1" applyProtection="1">
      <alignment horizontal="center" vertical="center"/>
      <protection hidden="1"/>
    </xf>
    <xf numFmtId="171" fontId="13" fillId="2" borderId="6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18" applyFill="1" applyAlignment="1">
      <alignment wrapText="1"/>
    </xf>
    <xf numFmtId="0" fontId="4" fillId="2" borderId="0" xfId="12" applyFont="1" applyFill="1" applyBorder="1" applyAlignment="1">
      <alignment vertical="top" wrapText="1"/>
    </xf>
    <xf numFmtId="171" fontId="10" fillId="2" borderId="5" xfId="0" applyNumberFormat="1" applyFont="1" applyFill="1" applyBorder="1" applyAlignment="1" applyProtection="1">
      <alignment horizontal="center" vertical="center"/>
      <protection hidden="1"/>
    </xf>
    <xf numFmtId="0" fontId="13" fillId="12" borderId="8" xfId="0" applyFont="1" applyFill="1" applyBorder="1" applyAlignment="1">
      <alignment horizontal="left" vertical="center"/>
    </xf>
    <xf numFmtId="0" fontId="13" fillId="12" borderId="8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13" fillId="12" borderId="9" xfId="0" applyFont="1" applyFill="1" applyBorder="1" applyAlignment="1">
      <alignment horizontal="left" vertical="center"/>
    </xf>
    <xf numFmtId="0" fontId="13" fillId="12" borderId="14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0" fontId="0" fillId="2" borderId="0" xfId="0" applyFill="1" applyAlignment="1">
      <alignment wrapText="1"/>
    </xf>
    <xf numFmtId="0" fontId="4" fillId="23" borderId="11" xfId="12" applyFont="1" applyFill="1" applyBorder="1" applyAlignment="1">
      <alignment horizontal="left" vertical="top" wrapText="1"/>
    </xf>
    <xf numFmtId="0" fontId="8" fillId="23" borderId="11" xfId="12" applyFont="1" applyFill="1" applyBorder="1" applyAlignment="1">
      <alignment vertical="top" wrapText="1"/>
    </xf>
    <xf numFmtId="0" fontId="21" fillId="2" borderId="0" xfId="0" applyFont="1" applyFill="1" applyAlignment="1" applyProtection="1">
      <alignment horizontal="left" vertical="center"/>
      <protection hidden="1"/>
    </xf>
    <xf numFmtId="0" fontId="18" fillId="33" borderId="0" xfId="0" applyFont="1" applyFill="1" applyBorder="1" applyAlignment="1" applyProtection="1">
      <alignment horizontal="left" vertical="center"/>
      <protection hidden="1"/>
    </xf>
    <xf numFmtId="0" fontId="0" fillId="33" borderId="0" xfId="0" applyFill="1" applyAlignment="1" applyProtection="1">
      <alignment horizontal="center"/>
      <protection hidden="1"/>
    </xf>
    <xf numFmtId="0" fontId="0" fillId="33" borderId="0" xfId="0" applyFill="1" applyProtection="1">
      <protection hidden="1"/>
    </xf>
    <xf numFmtId="9" fontId="18" fillId="33" borderId="0" xfId="0" applyNumberFormat="1" applyFont="1" applyFill="1" applyBorder="1" applyAlignment="1" applyProtection="1">
      <alignment horizontal="center" vertical="center"/>
      <protection hidden="1"/>
    </xf>
    <xf numFmtId="0" fontId="59" fillId="33" borderId="0" xfId="0" applyFont="1" applyFill="1" applyAlignment="1" applyProtection="1">
      <alignment vertical="center"/>
      <protection hidden="1"/>
    </xf>
    <xf numFmtId="0" fontId="13" fillId="33" borderId="0" xfId="0" applyFont="1" applyFill="1" applyBorder="1" applyAlignment="1" applyProtection="1">
      <alignment horizontal="left" vertical="center"/>
      <protection hidden="1"/>
    </xf>
    <xf numFmtId="49" fontId="56" fillId="33" borderId="0" xfId="0" applyNumberFormat="1" applyFont="1" applyFill="1" applyAlignment="1" applyProtection="1">
      <alignment horizontal="left" vertical="top"/>
      <protection hidden="1"/>
    </xf>
    <xf numFmtId="0" fontId="10" fillId="33" borderId="0" xfId="0" applyFont="1" applyFill="1" applyAlignment="1" applyProtection="1">
      <alignment wrapText="1"/>
      <protection hidden="1"/>
    </xf>
    <xf numFmtId="0" fontId="9" fillId="33" borderId="0" xfId="0" applyFont="1" applyFill="1" applyBorder="1" applyAlignment="1" applyProtection="1">
      <alignment horizontal="left" vertical="center" wrapText="1"/>
      <protection hidden="1"/>
    </xf>
    <xf numFmtId="9" fontId="10" fillId="33" borderId="0" xfId="0" applyNumberFormat="1" applyFont="1" applyFill="1" applyBorder="1" applyAlignment="1" applyProtection="1">
      <alignment horizontal="center" vertical="center"/>
      <protection hidden="1"/>
    </xf>
    <xf numFmtId="0" fontId="53" fillId="33" borderId="0" xfId="0" applyFont="1" applyFill="1" applyAlignment="1" applyProtection="1">
      <alignment vertical="center"/>
      <protection hidden="1"/>
    </xf>
    <xf numFmtId="0" fontId="0" fillId="33" borderId="0" xfId="0" applyFill="1" applyAlignment="1" applyProtection="1">
      <alignment horizontal="left"/>
      <protection hidden="1"/>
    </xf>
    <xf numFmtId="0" fontId="59" fillId="33" borderId="0" xfId="0" applyFont="1" applyFill="1" applyAlignment="1" applyProtection="1">
      <alignment vertical="top"/>
      <protection hidden="1"/>
    </xf>
    <xf numFmtId="169" fontId="49" fillId="33" borderId="0" xfId="0" applyNumberFormat="1" applyFont="1" applyFill="1" applyBorder="1" applyAlignment="1" applyProtection="1">
      <alignment horizontal="center" vertical="center"/>
      <protection hidden="1"/>
    </xf>
    <xf numFmtId="0" fontId="41" fillId="2" borderId="0" xfId="15" applyFont="1" applyFill="1"/>
    <xf numFmtId="0" fontId="41" fillId="2" borderId="0" xfId="15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0" borderId="0" xfId="0" applyFill="1" applyAlignment="1">
      <alignment horizontal="center"/>
    </xf>
    <xf numFmtId="0" fontId="11" fillId="21" borderId="10" xfId="15" applyFont="1" applyFill="1" applyBorder="1" applyAlignment="1">
      <alignment vertical="top"/>
    </xf>
    <xf numFmtId="0" fontId="40" fillId="3" borderId="2" xfId="15" applyFont="1" applyFill="1" applyBorder="1" applyAlignment="1">
      <alignment wrapText="1"/>
    </xf>
    <xf numFmtId="0" fontId="42" fillId="3" borderId="2" xfId="15" applyFont="1" applyFill="1" applyBorder="1" applyAlignment="1">
      <alignment vertical="top" wrapText="1"/>
    </xf>
    <xf numFmtId="0" fontId="52" fillId="3" borderId="2" xfId="15" applyFont="1" applyFill="1" applyBorder="1" applyAlignment="1">
      <alignment vertical="top" wrapText="1"/>
    </xf>
    <xf numFmtId="0" fontId="42" fillId="3" borderId="11" xfId="15" applyFont="1" applyFill="1" applyBorder="1" applyAlignment="1">
      <alignment vertical="top" wrapText="1"/>
    </xf>
    <xf numFmtId="0" fontId="42" fillId="3" borderId="11" xfId="14" applyFont="1" applyFill="1" applyBorder="1" applyAlignment="1">
      <alignment vertical="top" wrapText="1"/>
    </xf>
    <xf numFmtId="0" fontId="42" fillId="3" borderId="13" xfId="14" applyFont="1" applyFill="1" applyBorder="1" applyAlignment="1">
      <alignment vertical="top" wrapText="1"/>
    </xf>
    <xf numFmtId="0" fontId="42" fillId="3" borderId="2" xfId="16" applyFont="1" applyFill="1" applyBorder="1" applyAlignment="1">
      <alignment vertical="top" wrapText="1"/>
    </xf>
    <xf numFmtId="0" fontId="42" fillId="3" borderId="13" xfId="15" applyFont="1" applyFill="1" applyBorder="1" applyAlignment="1">
      <alignment vertical="top" wrapText="1"/>
    </xf>
    <xf numFmtId="0" fontId="42" fillId="3" borderId="11" xfId="15" applyFont="1" applyFill="1" applyBorder="1" applyAlignment="1">
      <alignment horizontal="left" vertical="top" wrapText="1"/>
    </xf>
    <xf numFmtId="0" fontId="42" fillId="3" borderId="11" xfId="18" applyFont="1" applyFill="1" applyBorder="1" applyAlignment="1">
      <alignment vertical="top" wrapText="1"/>
    </xf>
    <xf numFmtId="0" fontId="42" fillId="3" borderId="13" xfId="18" applyFont="1" applyFill="1" applyBorder="1" applyAlignment="1">
      <alignment vertical="top" wrapText="1"/>
    </xf>
    <xf numFmtId="0" fontId="52" fillId="3" borderId="11" xfId="15" applyFont="1" applyFill="1" applyBorder="1" applyAlignment="1">
      <alignment vertical="top" wrapText="1"/>
    </xf>
    <xf numFmtId="0" fontId="13" fillId="3" borderId="2" xfId="16" applyFont="1" applyFill="1" applyBorder="1" applyAlignment="1">
      <alignment wrapText="1"/>
    </xf>
    <xf numFmtId="0" fontId="6" fillId="3" borderId="13" xfId="14" applyFill="1" applyBorder="1"/>
    <xf numFmtId="0" fontId="25" fillId="2" borderId="0" xfId="0" applyFont="1" applyFill="1" applyAlignment="1" applyProtection="1">
      <alignment horizontal="left" vertical="center" indent="2"/>
      <protection hidden="1"/>
    </xf>
    <xf numFmtId="0" fontId="62" fillId="2" borderId="0" xfId="0" applyFont="1" applyFill="1" applyProtection="1">
      <protection hidden="1"/>
    </xf>
    <xf numFmtId="0" fontId="64" fillId="2" borderId="0" xfId="0" applyFont="1" applyFill="1" applyAlignment="1" applyProtection="1">
      <alignment horizontal="center" vertical="center"/>
      <protection hidden="1"/>
    </xf>
    <xf numFmtId="0" fontId="3" fillId="2" borderId="0" xfId="18" applyFill="1"/>
    <xf numFmtId="0" fontId="3" fillId="2" borderId="0" xfId="18" applyFill="1" applyAlignment="1">
      <alignment vertical="top" wrapText="1"/>
    </xf>
    <xf numFmtId="0" fontId="18" fillId="2" borderId="0" xfId="0" applyFont="1" applyFill="1" applyAlignment="1" applyProtection="1">
      <alignment wrapText="1"/>
      <protection hidden="1"/>
    </xf>
    <xf numFmtId="172" fontId="9" fillId="34" borderId="32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Protection="1">
      <protection hidden="1"/>
    </xf>
    <xf numFmtId="0" fontId="63" fillId="2" borderId="0" xfId="0" applyFont="1" applyFill="1" applyAlignment="1" applyProtection="1">
      <alignment vertical="center" wrapText="1"/>
      <protection hidden="1"/>
    </xf>
    <xf numFmtId="0" fontId="37" fillId="2" borderId="0" xfId="0" applyFont="1" applyFill="1" applyAlignment="1" applyProtection="1">
      <alignment vertical="top" wrapText="1"/>
    </xf>
    <xf numFmtId="171" fontId="64" fillId="2" borderId="0" xfId="0" applyNumberFormat="1" applyFont="1" applyFill="1" applyAlignment="1" applyProtection="1">
      <alignment vertical="center"/>
      <protection hidden="1"/>
    </xf>
    <xf numFmtId="0" fontId="1" fillId="3" borderId="11" xfId="14" applyFont="1" applyFill="1" applyBorder="1" applyAlignment="1">
      <alignment vertical="top" wrapText="1"/>
    </xf>
    <xf numFmtId="0" fontId="1" fillId="3" borderId="23" xfId="14" applyFont="1" applyFill="1" applyBorder="1" applyAlignment="1">
      <alignment vertical="top" wrapText="1"/>
    </xf>
    <xf numFmtId="0" fontId="1" fillId="3" borderId="11" xfId="12" applyFont="1" applyFill="1" applyBorder="1" applyAlignment="1">
      <alignment vertical="top" wrapText="1"/>
    </xf>
    <xf numFmtId="0" fontId="1" fillId="3" borderId="23" xfId="12" applyFont="1" applyFill="1" applyBorder="1" applyAlignment="1">
      <alignment vertical="top" wrapText="1"/>
    </xf>
    <xf numFmtId="0" fontId="1" fillId="2" borderId="0" xfId="18" applyFont="1" applyFill="1"/>
    <xf numFmtId="0" fontId="66" fillId="35" borderId="2" xfId="17" applyFont="1" applyFill="1" applyBorder="1"/>
    <xf numFmtId="173" fontId="13" fillId="2" borderId="6" xfId="0" applyNumberFormat="1" applyFont="1" applyFill="1" applyBorder="1" applyAlignment="1" applyProtection="1">
      <alignment horizontal="center" vertical="center"/>
      <protection locked="0" hidden="1"/>
    </xf>
    <xf numFmtId="173" fontId="10" fillId="2" borderId="5" xfId="0" applyNumberFormat="1" applyFont="1" applyFill="1" applyBorder="1" applyAlignment="1" applyProtection="1">
      <alignment horizontal="center" vertical="center"/>
      <protection hidden="1"/>
    </xf>
    <xf numFmtId="173" fontId="9" fillId="6" borderId="0" xfId="0" applyNumberFormat="1" applyFont="1" applyFill="1" applyBorder="1" applyAlignment="1" applyProtection="1">
      <alignment horizontal="center" vertical="center"/>
      <protection hidden="1"/>
    </xf>
    <xf numFmtId="173" fontId="0" fillId="29" borderId="0" xfId="0" applyNumberFormat="1" applyFill="1" applyAlignment="1">
      <alignment horizontal="center"/>
    </xf>
    <xf numFmtId="173" fontId="6" fillId="29" borderId="23" xfId="14" applyNumberFormat="1" applyFill="1" applyBorder="1" applyAlignment="1">
      <alignment horizontal="left"/>
    </xf>
    <xf numFmtId="173" fontId="4" fillId="29" borderId="13" xfId="14" applyNumberFormat="1" applyFont="1" applyFill="1" applyBorder="1" applyAlignment="1">
      <alignment horizontal="left" vertical="top" wrapText="1"/>
    </xf>
    <xf numFmtId="173" fontId="2" fillId="29" borderId="23" xfId="12" applyNumberFormat="1" applyFont="1" applyFill="1" applyBorder="1" applyAlignment="1">
      <alignment horizontal="left" vertical="top" wrapText="1"/>
    </xf>
    <xf numFmtId="0" fontId="1" fillId="2" borderId="0" xfId="18" applyFont="1" applyFill="1" applyAlignment="1">
      <alignment vertical="top" wrapText="1"/>
    </xf>
    <xf numFmtId="0" fontId="36" fillId="2" borderId="0" xfId="0" applyFont="1" applyFill="1" applyAlignment="1" applyProtection="1">
      <alignment vertical="center" wrapText="1"/>
      <protection hidden="1"/>
    </xf>
    <xf numFmtId="0" fontId="39" fillId="3" borderId="2" xfId="15" applyFont="1" applyFill="1" applyBorder="1" applyAlignment="1">
      <alignment vertical="top" wrapText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>
      <alignment horizontal="left"/>
    </xf>
    <xf numFmtId="0" fontId="57" fillId="2" borderId="0" xfId="0" applyFont="1" applyFill="1" applyAlignment="1" applyProtection="1">
      <alignment horizontal="left" vertical="top" wrapText="1"/>
      <protection hidden="1"/>
    </xf>
    <xf numFmtId="0" fontId="58" fillId="33" borderId="0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27" fillId="2" borderId="0" xfId="0" applyFont="1" applyFill="1" applyAlignment="1" applyProtection="1">
      <alignment horizontal="left" vertical="center" wrapText="1"/>
      <protection hidden="1"/>
    </xf>
    <xf numFmtId="0" fontId="10" fillId="4" borderId="0" xfId="0" applyFont="1" applyFill="1" applyBorder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63" fillId="2" borderId="0" xfId="0" applyFont="1" applyFill="1" applyAlignment="1" applyProtection="1">
      <alignment horizontal="left" vertical="center" wrapText="1"/>
      <protection hidden="1"/>
    </xf>
    <xf numFmtId="0" fontId="18" fillId="2" borderId="0" xfId="0" applyFont="1" applyFill="1" applyAlignment="1" applyProtection="1">
      <alignment horizontal="left" wrapText="1"/>
      <protection hidden="1"/>
    </xf>
    <xf numFmtId="0" fontId="67" fillId="2" borderId="0" xfId="0" applyFont="1" applyFill="1" applyAlignment="1" applyProtection="1">
      <alignment horizontal="justify" vertical="top" wrapText="1"/>
    </xf>
    <xf numFmtId="0" fontId="27" fillId="4" borderId="0" xfId="0" applyFont="1" applyFill="1" applyBorder="1" applyAlignment="1" applyProtection="1">
      <alignment horizontal="left" vertical="center" wrapText="1"/>
      <protection hidden="1"/>
    </xf>
    <xf numFmtId="0" fontId="27" fillId="4" borderId="0" xfId="0" applyFont="1" applyFill="1" applyAlignment="1" applyProtection="1">
      <alignment horizontal="left" vertical="center" wrapText="1"/>
      <protection hidden="1"/>
    </xf>
    <xf numFmtId="0" fontId="58" fillId="33" borderId="0" xfId="0" applyFont="1" applyFill="1" applyAlignment="1" applyProtection="1">
      <alignment horizontal="left" vertical="center" wrapText="1"/>
      <protection hidden="1"/>
    </xf>
    <xf numFmtId="173" fontId="18" fillId="2" borderId="17" xfId="0" applyNumberFormat="1" applyFont="1" applyFill="1" applyBorder="1" applyAlignment="1" applyProtection="1">
      <alignment horizontal="center" vertical="center"/>
      <protection locked="0" hidden="1"/>
    </xf>
    <xf numFmtId="170" fontId="18" fillId="2" borderId="18" xfId="0" applyNumberFormat="1" applyFont="1" applyFill="1" applyBorder="1" applyAlignment="1" applyProtection="1">
      <alignment horizontal="center" vertical="center"/>
      <protection locked="0" hidden="1"/>
    </xf>
    <xf numFmtId="170" fontId="18" fillId="2" borderId="19" xfId="0" applyNumberFormat="1" applyFont="1" applyFill="1" applyBorder="1" applyAlignment="1" applyProtection="1">
      <alignment horizontal="center" vertical="center"/>
      <protection locked="0" hidden="1"/>
    </xf>
    <xf numFmtId="173" fontId="10" fillId="2" borderId="20" xfId="0" applyNumberFormat="1" applyFont="1" applyFill="1" applyBorder="1" applyAlignment="1" applyProtection="1">
      <alignment horizontal="center" vertical="center"/>
      <protection hidden="1"/>
    </xf>
    <xf numFmtId="170" fontId="10" fillId="2" borderId="21" xfId="0" applyNumberFormat="1" applyFont="1" applyFill="1" applyBorder="1" applyAlignment="1" applyProtection="1">
      <alignment horizontal="center" vertical="center"/>
      <protection hidden="1"/>
    </xf>
    <xf numFmtId="170" fontId="10" fillId="2" borderId="22" xfId="0" applyNumberFormat="1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left" vertical="center" wrapText="1"/>
      <protection hidden="1"/>
    </xf>
    <xf numFmtId="0" fontId="9" fillId="27" borderId="0" xfId="0" applyFont="1" applyFill="1" applyBorder="1" applyAlignment="1" applyProtection="1">
      <alignment horizontal="left" vertical="center" wrapText="1"/>
      <protection hidden="1"/>
    </xf>
    <xf numFmtId="0" fontId="1" fillId="3" borderId="11" xfId="12" applyFont="1" applyFill="1" applyBorder="1" applyAlignment="1">
      <alignment vertical="top" wrapText="1"/>
    </xf>
    <xf numFmtId="0" fontId="1" fillId="3" borderId="23" xfId="12" applyFont="1" applyFill="1" applyBorder="1" applyAlignment="1">
      <alignment vertical="top" wrapText="1"/>
    </xf>
    <xf numFmtId="0" fontId="1" fillId="3" borderId="13" xfId="12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vertical="top" wrapText="1"/>
    </xf>
    <xf numFmtId="0" fontId="8" fillId="3" borderId="13" xfId="0" applyFont="1" applyFill="1" applyBorder="1" applyAlignment="1">
      <alignment vertical="top" wrapText="1"/>
    </xf>
    <xf numFmtId="0" fontId="13" fillId="13" borderId="10" xfId="0" applyFont="1" applyFill="1" applyBorder="1" applyAlignment="1">
      <alignment horizontal="left" vertical="center"/>
    </xf>
    <xf numFmtId="0" fontId="13" fillId="13" borderId="12" xfId="0" applyFont="1" applyFill="1" applyBorder="1" applyAlignment="1">
      <alignment horizontal="left" vertical="center"/>
    </xf>
    <xf numFmtId="0" fontId="40" fillId="14" borderId="11" xfId="0" applyFont="1" applyFill="1" applyBorder="1" applyAlignment="1">
      <alignment horizontal="center" vertical="top" wrapText="1"/>
    </xf>
    <xf numFmtId="0" fontId="40" fillId="14" borderId="13" xfId="0" applyFont="1" applyFill="1" applyBorder="1" applyAlignment="1">
      <alignment horizontal="center" vertical="top" wrapText="1"/>
    </xf>
    <xf numFmtId="0" fontId="66" fillId="35" borderId="11" xfId="12" applyFont="1" applyFill="1" applyBorder="1" applyAlignment="1">
      <alignment horizontal="left" vertical="top" wrapText="1"/>
    </xf>
    <xf numFmtId="173" fontId="66" fillId="35" borderId="23" xfId="12" applyNumberFormat="1" applyFont="1" applyFill="1" applyBorder="1" applyAlignment="1">
      <alignment horizontal="left" vertical="top" wrapText="1"/>
    </xf>
    <xf numFmtId="0" fontId="66" fillId="35" borderId="23" xfId="12" applyFont="1" applyFill="1" applyBorder="1" applyAlignment="1">
      <alignment horizontal="left" vertical="top" wrapText="1"/>
    </xf>
    <xf numFmtId="0" fontId="66" fillId="35" borderId="13" xfId="12" applyFont="1" applyFill="1" applyBorder="1" applyAlignment="1">
      <alignment horizontal="left" vertical="top" wrapText="1"/>
    </xf>
    <xf numFmtId="0" fontId="27" fillId="2" borderId="0" xfId="0" applyFont="1" applyFill="1" applyAlignment="1" applyProtection="1">
      <alignment vertical="center"/>
      <protection hidden="1"/>
    </xf>
    <xf numFmtId="171" fontId="64" fillId="2" borderId="0" xfId="0" applyNumberFormat="1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</cellXfs>
  <cellStyles count="19">
    <cellStyle name="Milliers 2" xfId="4" xr:uid="{00000000-0005-0000-0000-000000000000}"/>
    <cellStyle name="Milliers 3" xfId="8" xr:uid="{00000000-0005-0000-0000-000001000000}"/>
    <cellStyle name="Normal" xfId="0" builtinId="0"/>
    <cellStyle name="Normal 2" xfId="2" xr:uid="{00000000-0005-0000-0000-000003000000}"/>
    <cellStyle name="Normal 2 2" xfId="9" xr:uid="{00000000-0005-0000-0000-000004000000}"/>
    <cellStyle name="Normal 2 3" xfId="12" xr:uid="{7553055C-529D-4012-B3AC-C554775C74A2}"/>
    <cellStyle name="Normal 3" xfId="5" xr:uid="{00000000-0005-0000-0000-000005000000}"/>
    <cellStyle name="Normal 3 2" xfId="7" xr:uid="{00000000-0005-0000-0000-000006000000}"/>
    <cellStyle name="Normal 4" xfId="6" xr:uid="{00000000-0005-0000-0000-000007000000}"/>
    <cellStyle name="Normal 5" xfId="11" xr:uid="{4A271797-851F-4A74-B17B-BDFF98EB1055}"/>
    <cellStyle name="Normal 5 2" xfId="14" xr:uid="{6FFE81F9-3B30-40C7-BFA1-3914D0D663A6}"/>
    <cellStyle name="Normal 5 2 2" xfId="17" xr:uid="{60660518-E79D-4386-9B42-C1B4B73D183A}"/>
    <cellStyle name="Normal 5 3" xfId="16" xr:uid="{6CA57804-D398-4D47-A53C-E34A27E3CB97}"/>
    <cellStyle name="Normal 6" xfId="13" xr:uid="{0A117D5D-D393-428A-9F9C-45A280AEE7AC}"/>
    <cellStyle name="Normal 7" xfId="15" xr:uid="{3A6FD18F-B43D-4311-8991-C53344FB5DA9}"/>
    <cellStyle name="Normal 8" xfId="18" xr:uid="{CBC5B011-825E-4C9C-A71E-F863EB169942}"/>
    <cellStyle name="Pourcentage" xfId="1" builtinId="5"/>
    <cellStyle name="Pourcentage 2" xfId="3" xr:uid="{00000000-0005-0000-0000-000009000000}"/>
    <cellStyle name="Pourcentage 2 2" xfId="10" xr:uid="{00000000-0005-0000-0000-00000A000000}"/>
  </cellStyles>
  <dxfs count="37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FAEC1"/>
        </patternFill>
      </fill>
    </dxf>
    <dxf>
      <fill>
        <patternFill>
          <bgColor theme="8" tint="0.59996337778862885"/>
        </patternFill>
      </fill>
    </dxf>
    <dxf>
      <font>
        <b/>
        <i/>
        <strike val="0"/>
        <condense val="0"/>
        <extend val="0"/>
        <u val="none"/>
        <color indexed="18"/>
      </font>
      <fill>
        <patternFill patternType="lightGray"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8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color theme="8"/>
      </font>
    </dxf>
    <dxf>
      <fill>
        <patternFill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B3CD81"/>
        </patternFill>
      </fill>
    </dxf>
    <dxf>
      <fill>
        <patternFill>
          <bgColor rgb="FFB3CD81"/>
        </patternFill>
      </fill>
    </dxf>
  </dxfs>
  <tableStyles count="0" defaultTableStyle="TableStyleMedium2" defaultPivotStyle="PivotStyleLight16"/>
  <colors>
    <mruColors>
      <color rgb="FFD2D6EA"/>
      <color rgb="FFE8F3F8"/>
      <color rgb="FFEDF5F9"/>
      <color rgb="FF4D758C"/>
      <color rgb="FFFEF1F0"/>
      <color rgb="FFD3D6DF"/>
      <color rgb="FFC1C5D1"/>
      <color rgb="FFF9F9F9"/>
      <color rgb="FFABAECD"/>
      <color rgb="FFB9D9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sv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svg"/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422671</xdr:colOff>
      <xdr:row>44</xdr:row>
      <xdr:rowOff>226217</xdr:rowOff>
    </xdr:from>
    <xdr:to>
      <xdr:col>7</xdr:col>
      <xdr:colOff>423071</xdr:colOff>
      <xdr:row>46</xdr:row>
      <xdr:rowOff>54983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423171" y="5488780"/>
          <a:ext cx="400" cy="1800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200526</xdr:colOff>
      <xdr:row>5</xdr:row>
      <xdr:rowOff>8499</xdr:rowOff>
    </xdr:from>
    <xdr:to>
      <xdr:col>17</xdr:col>
      <xdr:colOff>24848</xdr:colOff>
      <xdr:row>16</xdr:row>
      <xdr:rowOff>100408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526" y="861608"/>
          <a:ext cx="8653583" cy="1781561"/>
        </a:xfrm>
        <a:prstGeom prst="roundRect">
          <a:avLst>
            <a:gd name="adj" fmla="val 4274"/>
          </a:avLst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1307097</xdr:colOff>
      <xdr:row>18</xdr:row>
      <xdr:rowOff>250658</xdr:rowOff>
    </xdr:from>
    <xdr:to>
      <xdr:col>17</xdr:col>
      <xdr:colOff>0</xdr:colOff>
      <xdr:row>26</xdr:row>
      <xdr:rowOff>33421</xdr:rowOff>
    </xdr:to>
    <xdr:sp macro="" textlink="">
      <xdr:nvSpPr>
        <xdr:cNvPr id="28" name="InfoBulleAbond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654465" y="3149934"/>
          <a:ext cx="2394285" cy="543092"/>
        </a:xfrm>
        <a:prstGeom prst="wedgeRectCallout">
          <a:avLst>
            <a:gd name="adj1" fmla="val -54798"/>
            <a:gd name="adj2" fmla="val 24514"/>
          </a:avLst>
        </a:prstGeom>
        <a:solidFill>
          <a:srgbClr val="39518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l"/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Le montant de l'abondement</a:t>
          </a:r>
          <a:r>
            <a:rPr lang="fr-FR" sz="900" baseline="0">
              <a:latin typeface="Arial" panose="020B0604020202020204" pitchFamily="34" charset="0"/>
              <a:cs typeface="Arial" panose="020B0604020202020204" pitchFamily="34" charset="0"/>
            </a:rPr>
            <a:t> versé par votre employeur s'élève à </a:t>
          </a:r>
          <a:r>
            <a:rPr lang="fr-FR" sz="900" b="1" baseline="0">
              <a:solidFill>
                <a:srgbClr val="FFE97E"/>
              </a:solidFill>
              <a:latin typeface="Arial" panose="020B0604020202020204" pitchFamily="34" charset="0"/>
              <a:cs typeface="Arial" panose="020B0604020202020204" pitchFamily="34" charset="0"/>
            </a:rPr>
            <a:t>60 %</a:t>
          </a:r>
          <a:r>
            <a:rPr lang="fr-FR" sz="900" baseline="0">
              <a:solidFill>
                <a:srgbClr val="FFE97E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900" baseline="0">
              <a:latin typeface="Arial" panose="020B0604020202020204" pitchFamily="34" charset="0"/>
              <a:cs typeface="Arial" panose="020B0604020202020204" pitchFamily="34" charset="0"/>
            </a:rPr>
            <a:t>du montant de votre apport personnel * </a:t>
          </a:r>
          <a:r>
            <a:rPr lang="fr-FR" sz="900" b="1" baseline="0">
              <a:solidFill>
                <a:srgbClr val="FFE97E"/>
              </a:solidFill>
              <a:latin typeface="Arial" panose="020B0604020202020204" pitchFamily="34" charset="0"/>
              <a:cs typeface="Arial" panose="020B0604020202020204" pitchFamily="34" charset="0"/>
            </a:rPr>
            <a:t>jusqu'à 250 €</a:t>
          </a:r>
          <a:endParaRPr lang="fr-FR" sz="750" baseline="0">
            <a:solidFill>
              <a:srgbClr val="FFE97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25066</xdr:colOff>
      <xdr:row>15</xdr:row>
      <xdr:rowOff>0</xdr:rowOff>
    </xdr:from>
    <xdr:to>
      <xdr:col>2</xdr:col>
      <xdr:colOff>317500</xdr:colOff>
      <xdr:row>16</xdr:row>
      <xdr:rowOff>41777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6382" y="2523289"/>
          <a:ext cx="292434" cy="200527"/>
        </a:xfrm>
        <a:prstGeom prst="rightArrow">
          <a:avLst>
            <a:gd name="adj1" fmla="val 58975"/>
            <a:gd name="adj2" fmla="val 5000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202531</xdr:colOff>
      <xdr:row>18</xdr:row>
      <xdr:rowOff>41413</xdr:rowOff>
    </xdr:from>
    <xdr:to>
      <xdr:col>17</xdr:col>
      <xdr:colOff>26853</xdr:colOff>
      <xdr:row>73</xdr:row>
      <xdr:rowOff>41777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02531" y="3114261"/>
          <a:ext cx="8653583" cy="6278581"/>
        </a:xfrm>
        <a:prstGeom prst="roundRect">
          <a:avLst>
            <a:gd name="adj" fmla="val 1117"/>
          </a:avLst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287916</xdr:colOff>
      <xdr:row>23</xdr:row>
      <xdr:rowOff>33128</xdr:rowOff>
    </xdr:from>
    <xdr:to>
      <xdr:col>1</xdr:col>
      <xdr:colOff>121160</xdr:colOff>
      <xdr:row>25</xdr:row>
      <xdr:rowOff>16863</xdr:rowOff>
    </xdr:to>
    <xdr:sp macro="" textlink="">
      <xdr:nvSpPr>
        <xdr:cNvPr id="48" name="Flèche : droit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87916" y="3478693"/>
          <a:ext cx="131418" cy="190800"/>
        </a:xfrm>
        <a:prstGeom prst="rightArrow">
          <a:avLst>
            <a:gd name="adj1" fmla="val 100000"/>
            <a:gd name="adj2" fmla="val 50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654326</xdr:colOff>
      <xdr:row>1</xdr:row>
      <xdr:rowOff>16567</xdr:rowOff>
    </xdr:from>
    <xdr:to>
      <xdr:col>4</xdr:col>
      <xdr:colOff>745437</xdr:colOff>
      <xdr:row>2</xdr:row>
      <xdr:rowOff>14214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283" y="182219"/>
          <a:ext cx="919371" cy="304104"/>
        </a:xfrm>
        <a:prstGeom prst="rect">
          <a:avLst/>
        </a:prstGeom>
      </xdr:spPr>
    </xdr:pic>
    <xdr:clientData/>
  </xdr:twoCellAnchor>
  <xdr:twoCellAnchor editAs="oneCell">
    <xdr:from>
      <xdr:col>1</xdr:col>
      <xdr:colOff>33130</xdr:colOff>
      <xdr:row>76</xdr:row>
      <xdr:rowOff>91107</xdr:rowOff>
    </xdr:from>
    <xdr:to>
      <xdr:col>3</xdr:col>
      <xdr:colOff>430696</xdr:colOff>
      <xdr:row>78</xdr:row>
      <xdr:rowOff>481162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99" t="23243" r="24626" b="53514"/>
        <a:stretch/>
      </xdr:blipFill>
      <xdr:spPr>
        <a:xfrm>
          <a:off x="331304" y="9732064"/>
          <a:ext cx="977349" cy="588838"/>
        </a:xfrm>
        <a:prstGeom prst="rect">
          <a:avLst/>
        </a:prstGeom>
      </xdr:spPr>
    </xdr:pic>
    <xdr:clientData/>
  </xdr:twoCellAnchor>
  <xdr:twoCellAnchor editAs="oneCell">
    <xdr:from>
      <xdr:col>17</xdr:col>
      <xdr:colOff>74543</xdr:colOff>
      <xdr:row>19</xdr:row>
      <xdr:rowOff>40171</xdr:rowOff>
    </xdr:from>
    <xdr:to>
      <xdr:col>18</xdr:col>
      <xdr:colOff>57317</xdr:colOff>
      <xdr:row>35</xdr:row>
      <xdr:rowOff>51836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903804" y="3245541"/>
          <a:ext cx="960122" cy="16184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53</xdr:row>
          <xdr:rowOff>9525</xdr:rowOff>
        </xdr:from>
        <xdr:to>
          <xdr:col>5</xdr:col>
          <xdr:colOff>809625</xdr:colOff>
          <xdr:row>54</xdr:row>
          <xdr:rowOff>19050</xdr:rowOff>
        </xdr:to>
        <xdr:sp macro="" textlink="">
          <xdr:nvSpPr>
            <xdr:cNvPr id="3177" name="ScrollBar2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190914</xdr:colOff>
      <xdr:row>1</xdr:row>
      <xdr:rowOff>74546</xdr:rowOff>
    </xdr:from>
    <xdr:to>
      <xdr:col>15</xdr:col>
      <xdr:colOff>828674</xdr:colOff>
      <xdr:row>5</xdr:row>
      <xdr:rowOff>24849</xdr:rowOff>
    </xdr:to>
    <xdr:pic>
      <xdr:nvPicPr>
        <xdr:cNvPr id="21" name="Graphique 20" descr="Jauge avec un remplissage uni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670110" y="240198"/>
          <a:ext cx="637760" cy="6377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40</xdr:row>
          <xdr:rowOff>28575</xdr:rowOff>
        </xdr:from>
        <xdr:to>
          <xdr:col>5</xdr:col>
          <xdr:colOff>771525</xdr:colOff>
          <xdr:row>41</xdr:row>
          <xdr:rowOff>9525</xdr:rowOff>
        </xdr:to>
        <xdr:sp macro="" textlink="">
          <xdr:nvSpPr>
            <xdr:cNvPr id="3178" name="ScrollBar1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596350</xdr:colOff>
      <xdr:row>5</xdr:row>
      <xdr:rowOff>8281</xdr:rowOff>
    </xdr:from>
    <xdr:to>
      <xdr:col>13</xdr:col>
      <xdr:colOff>422830</xdr:colOff>
      <xdr:row>13</xdr:row>
      <xdr:rowOff>115956</xdr:rowOff>
    </xdr:to>
    <xdr:sp macro="" textlink="">
      <xdr:nvSpPr>
        <xdr:cNvPr id="4" name="InfoBulleRAB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86372" y="861390"/>
          <a:ext cx="4034045" cy="1325218"/>
        </a:xfrm>
        <a:prstGeom prst="wedgeRectCallout">
          <a:avLst>
            <a:gd name="adj1" fmla="val 54230"/>
            <a:gd name="adj2" fmla="val 18519"/>
          </a:avLst>
        </a:prstGeom>
        <a:solidFill>
          <a:schemeClr val="accent4"/>
        </a:solidFill>
        <a:ln w="1270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36000" rtlCol="0" anchor="t"/>
        <a:lstStyle/>
        <a:p>
          <a:pPr algn="l">
            <a:spcBef>
              <a:spcPts val="600"/>
            </a:spcBef>
          </a:pPr>
          <a:r>
            <a:rPr lang="fr-FR" sz="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Skriv in din beräknade  årliga bruttoinkomst för 2022. </a:t>
          </a:r>
        </a:p>
        <a:p>
          <a:pPr algn="l">
            <a:spcBef>
              <a:spcPts val="600"/>
            </a:spcBef>
          </a:pPr>
          <a:r>
            <a:rPr lang="fr-FR" sz="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Din beräknade årliga bruttoersättning för 2022 inkluderar belopp som redan har samlats in och belopp som förväntas ha samlats in senast den 31 december 2022.</a:t>
          </a:r>
        </a:p>
        <a:p>
          <a:pPr algn="l">
            <a:spcBef>
              <a:spcPts val="600"/>
            </a:spcBef>
          </a:pPr>
          <a:r>
            <a:rPr lang="fr-FR" sz="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Du kan uppskatta din årliga bruttoersättning för 2022 genom att till din fasta lön, beroende på fall, lägga till de rörliga delarna utbetalda 2022 (bonusar, 2021 rörliga ersättningar,...). </a:t>
          </a:r>
        </a:p>
        <a:p>
          <a:pPr algn="l">
            <a:spcBef>
              <a:spcPts val="600"/>
            </a:spcBef>
          </a:pPr>
          <a:r>
            <a:rPr lang="fr-FR" sz="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Endast de delar av din ersättning som du fått som anställd i Nexanskoncernen bör beaktas.</a:t>
          </a:r>
          <a:endParaRPr lang="fr-FR" sz="800" i="0">
            <a:solidFill>
              <a:schemeClr val="bg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287916</xdr:colOff>
      <xdr:row>29</xdr:row>
      <xdr:rowOff>28159</xdr:rowOff>
    </xdr:from>
    <xdr:to>
      <xdr:col>1</xdr:col>
      <xdr:colOff>122942</xdr:colOff>
      <xdr:row>30</xdr:row>
      <xdr:rowOff>36442</xdr:rowOff>
    </xdr:to>
    <xdr:sp macro="" textlink="">
      <xdr:nvSpPr>
        <xdr:cNvPr id="26" name="Flèche : droit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87916" y="3962398"/>
          <a:ext cx="133200" cy="190501"/>
        </a:xfrm>
        <a:prstGeom prst="rightArrow">
          <a:avLst>
            <a:gd name="adj1" fmla="val 100000"/>
            <a:gd name="adj2" fmla="val 50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179615</xdr:colOff>
      <xdr:row>36</xdr:row>
      <xdr:rowOff>82827</xdr:rowOff>
    </xdr:from>
    <xdr:to>
      <xdr:col>16</xdr:col>
      <xdr:colOff>99390</xdr:colOff>
      <xdr:row>43</xdr:row>
      <xdr:rowOff>66262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7789" y="4008784"/>
          <a:ext cx="9718101" cy="654326"/>
        </a:xfrm>
        <a:prstGeom prst="roundRect">
          <a:avLst>
            <a:gd name="adj" fmla="val 13509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179615</xdr:colOff>
      <xdr:row>50</xdr:row>
      <xdr:rowOff>0</xdr:rowOff>
    </xdr:from>
    <xdr:to>
      <xdr:col>8</xdr:col>
      <xdr:colOff>173935</xdr:colOff>
      <xdr:row>55</xdr:row>
      <xdr:rowOff>173934</xdr:rowOff>
    </xdr:to>
    <xdr:sp macro="" textlink="">
      <xdr:nvSpPr>
        <xdr:cNvPr id="33" name="Rectangle : coins arrondi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77789" y="6310819"/>
          <a:ext cx="4524907" cy="588593"/>
        </a:xfrm>
        <a:prstGeom prst="roundRect">
          <a:avLst>
            <a:gd name="adj" fmla="val 16388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447262</xdr:colOff>
      <xdr:row>40</xdr:row>
      <xdr:rowOff>60023</xdr:rowOff>
    </xdr:from>
    <xdr:to>
      <xdr:col>15</xdr:col>
      <xdr:colOff>447262</xdr:colOff>
      <xdr:row>44</xdr:row>
      <xdr:rowOff>11958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9674088" y="4333849"/>
          <a:ext cx="0" cy="5400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209135</xdr:colOff>
      <xdr:row>40</xdr:row>
      <xdr:rowOff>62120</xdr:rowOff>
    </xdr:from>
    <xdr:to>
      <xdr:col>15</xdr:col>
      <xdr:colOff>455070</xdr:colOff>
      <xdr:row>40</xdr:row>
      <xdr:rowOff>62120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037896" y="4335946"/>
          <a:ext cx="4644000" cy="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287916</xdr:colOff>
      <xdr:row>36</xdr:row>
      <xdr:rowOff>112641</xdr:rowOff>
    </xdr:from>
    <xdr:to>
      <xdr:col>1</xdr:col>
      <xdr:colOff>122942</xdr:colOff>
      <xdr:row>39</xdr:row>
      <xdr:rowOff>46680</xdr:rowOff>
    </xdr:to>
    <xdr:sp macro="" textlink="">
      <xdr:nvSpPr>
        <xdr:cNvPr id="45" name="Flèche : droit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87916" y="4734337"/>
          <a:ext cx="133200" cy="190800"/>
        </a:xfrm>
        <a:prstGeom prst="rightArrow">
          <a:avLst>
            <a:gd name="adj1" fmla="val 100000"/>
            <a:gd name="adj2" fmla="val 50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287916</xdr:colOff>
      <xdr:row>50</xdr:row>
      <xdr:rowOff>24844</xdr:rowOff>
    </xdr:from>
    <xdr:to>
      <xdr:col>1</xdr:col>
      <xdr:colOff>122942</xdr:colOff>
      <xdr:row>52</xdr:row>
      <xdr:rowOff>25144</xdr:rowOff>
    </xdr:to>
    <xdr:sp macro="" textlink="">
      <xdr:nvSpPr>
        <xdr:cNvPr id="49" name="Flèche : droit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87916" y="6352757"/>
          <a:ext cx="133200" cy="190800"/>
        </a:xfrm>
        <a:prstGeom prst="rightArrow">
          <a:avLst>
            <a:gd name="adj1" fmla="val 100000"/>
            <a:gd name="adj2" fmla="val 50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287916</xdr:colOff>
      <xdr:row>68</xdr:row>
      <xdr:rowOff>23188</xdr:rowOff>
    </xdr:from>
    <xdr:to>
      <xdr:col>1</xdr:col>
      <xdr:colOff>121160</xdr:colOff>
      <xdr:row>68</xdr:row>
      <xdr:rowOff>255103</xdr:rowOff>
    </xdr:to>
    <xdr:sp macro="" textlink="">
      <xdr:nvSpPr>
        <xdr:cNvPr id="53" name="Flèche : droit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87916" y="8338927"/>
          <a:ext cx="131418" cy="231915"/>
        </a:xfrm>
        <a:prstGeom prst="rightArrow">
          <a:avLst>
            <a:gd name="adj1" fmla="val 100000"/>
            <a:gd name="adj2" fmla="val 50000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894521</xdr:colOff>
      <xdr:row>47</xdr:row>
      <xdr:rowOff>24849</xdr:rowOff>
    </xdr:from>
    <xdr:to>
      <xdr:col>8</xdr:col>
      <xdr:colOff>41413</xdr:colOff>
      <xdr:row>49</xdr:row>
      <xdr:rowOff>57979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84543" y="5880653"/>
          <a:ext cx="985631" cy="16565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414131</xdr:colOff>
      <xdr:row>41</xdr:row>
      <xdr:rowOff>24847</xdr:rowOff>
    </xdr:from>
    <xdr:to>
      <xdr:col>7</xdr:col>
      <xdr:colOff>414131</xdr:colOff>
      <xdr:row>43</xdr:row>
      <xdr:rowOff>202630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414631" y="4489173"/>
          <a:ext cx="0" cy="3600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425726</xdr:colOff>
      <xdr:row>55</xdr:row>
      <xdr:rowOff>19882</xdr:rowOff>
    </xdr:from>
    <xdr:to>
      <xdr:col>7</xdr:col>
      <xdr:colOff>430695</xdr:colOff>
      <xdr:row>57</xdr:row>
      <xdr:rowOff>9708</xdr:rowOff>
    </xdr:to>
    <xdr:cxnSp macro="">
      <xdr:nvCxnSpPr>
        <xdr:cNvPr id="41" name="Connecteur droit avec flèch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4426226" y="6140730"/>
          <a:ext cx="4969" cy="2880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922680</xdr:colOff>
      <xdr:row>71</xdr:row>
      <xdr:rowOff>19881</xdr:rowOff>
    </xdr:from>
    <xdr:to>
      <xdr:col>8</xdr:col>
      <xdr:colOff>69572</xdr:colOff>
      <xdr:row>73</xdr:row>
      <xdr:rowOff>36448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912702" y="8650359"/>
          <a:ext cx="985631" cy="18221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</xdr:rowOff>
        </xdr:from>
        <xdr:to>
          <xdr:col>2</xdr:col>
          <xdr:colOff>152400</xdr:colOff>
          <xdr:row>13</xdr:row>
          <xdr:rowOff>9525</xdr:rowOff>
        </xdr:to>
        <xdr:sp macro="" textlink="">
          <xdr:nvSpPr>
            <xdr:cNvPr id="3180" name="OptionButton1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19050</xdr:rowOff>
        </xdr:from>
        <xdr:to>
          <xdr:col>2</xdr:col>
          <xdr:colOff>152400</xdr:colOff>
          <xdr:row>14</xdr:row>
          <xdr:rowOff>9525</xdr:rowOff>
        </xdr:to>
        <xdr:sp macro="" textlink="">
          <xdr:nvSpPr>
            <xdr:cNvPr id="3181" name="OptionButton2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463825</xdr:colOff>
      <xdr:row>0</xdr:row>
      <xdr:rowOff>49696</xdr:rowOff>
    </xdr:from>
    <xdr:to>
      <xdr:col>10</xdr:col>
      <xdr:colOff>223630</xdr:colOff>
      <xdr:row>2</xdr:row>
      <xdr:rowOff>57978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464325" y="49696"/>
          <a:ext cx="977348" cy="4803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287916</xdr:colOff>
      <xdr:row>66</xdr:row>
      <xdr:rowOff>11595</xdr:rowOff>
    </xdr:from>
    <xdr:to>
      <xdr:col>1</xdr:col>
      <xdr:colOff>122942</xdr:colOff>
      <xdr:row>67</xdr:row>
      <xdr:rowOff>19878</xdr:rowOff>
    </xdr:to>
    <xdr:sp macro="" textlink="">
      <xdr:nvSpPr>
        <xdr:cNvPr id="32" name="Flèche : droit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87916" y="8004312"/>
          <a:ext cx="133200" cy="190501"/>
        </a:xfrm>
        <a:prstGeom prst="rightArrow">
          <a:avLst>
            <a:gd name="adj1" fmla="val 100000"/>
            <a:gd name="adj2" fmla="val 50000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273327</xdr:colOff>
      <xdr:row>1</xdr:row>
      <xdr:rowOff>1</xdr:rowOff>
    </xdr:from>
    <xdr:to>
      <xdr:col>5</xdr:col>
      <xdr:colOff>778566</xdr:colOff>
      <xdr:row>4</xdr:row>
      <xdr:rowOff>124240</xdr:rowOff>
    </xdr:to>
    <xdr:sp macro="[0]!AdaptToCountry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72849" y="140805"/>
          <a:ext cx="2029239" cy="546652"/>
        </a:xfrm>
        <a:prstGeom prst="roundRect">
          <a:avLst/>
        </a:prstGeom>
        <a:solidFill>
          <a:schemeClr val="accent4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Adapter</a:t>
          </a:r>
          <a:r>
            <a:rPr lang="fr-FR" sz="1100" b="1" baseline="0">
              <a:latin typeface="Arial" panose="020B0604020202020204" pitchFamily="34" charset="0"/>
              <a:cs typeface="Arial" panose="020B0604020202020204" pitchFamily="34" charset="0"/>
            </a:rPr>
            <a:t> le simulateur</a:t>
          </a:r>
        </a:p>
      </xdr:txBody>
    </xdr:sp>
    <xdr:clientData/>
  </xdr:twoCellAnchor>
  <xdr:twoCellAnchor>
    <xdr:from>
      <xdr:col>6</xdr:col>
      <xdr:colOff>66261</xdr:colOff>
      <xdr:row>1</xdr:row>
      <xdr:rowOff>99392</xdr:rowOff>
    </xdr:from>
    <xdr:to>
      <xdr:col>8</xdr:col>
      <xdr:colOff>521805</xdr:colOff>
      <xdr:row>6</xdr:row>
      <xdr:rowOff>82826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34000" y="240196"/>
          <a:ext cx="2948609" cy="687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540000" rtlCol="0" anchor="t"/>
        <a:lstStyle/>
        <a:p>
          <a:r>
            <a:rPr lang="fr-FR" sz="1100">
              <a:solidFill>
                <a:srgbClr val="FF0000"/>
              </a:solidFill>
            </a:rPr>
            <a:t>copier le message en Text!F14 et le coller</a:t>
          </a:r>
          <a:r>
            <a:rPr lang="fr-FR" sz="1100" baseline="0">
              <a:solidFill>
                <a:srgbClr val="FF0000"/>
              </a:solidFill>
            </a:rPr>
            <a:t> dans l'infobulle sur la rémunération annuelle brute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165652</xdr:colOff>
      <xdr:row>2</xdr:row>
      <xdr:rowOff>99392</xdr:rowOff>
    </xdr:from>
    <xdr:to>
      <xdr:col>6</xdr:col>
      <xdr:colOff>480390</xdr:colOff>
      <xdr:row>4</xdr:row>
      <xdr:rowOff>132522</xdr:rowOff>
    </xdr:to>
    <xdr:pic>
      <xdr:nvPicPr>
        <xdr:cNvPr id="5" name="Graphique 4" descr="Avertissement avec un remplissage u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33391" y="381001"/>
          <a:ext cx="314738" cy="314738"/>
        </a:xfrm>
        <a:prstGeom prst="rect">
          <a:avLst/>
        </a:prstGeom>
      </xdr:spPr>
    </xdr:pic>
    <xdr:clientData/>
  </xdr:twoCellAnchor>
  <xdr:twoCellAnchor>
    <xdr:from>
      <xdr:col>3</xdr:col>
      <xdr:colOff>265044</xdr:colOff>
      <xdr:row>5</xdr:row>
      <xdr:rowOff>41413</xdr:rowOff>
    </xdr:from>
    <xdr:to>
      <xdr:col>5</xdr:col>
      <xdr:colOff>770283</xdr:colOff>
      <xdr:row>7</xdr:row>
      <xdr:rowOff>21534</xdr:rowOff>
    </xdr:to>
    <xdr:sp macro="[0]!ResetData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64566" y="745435"/>
          <a:ext cx="2029239" cy="261729"/>
        </a:xfrm>
        <a:prstGeom prst="roundRect">
          <a:avLst>
            <a:gd name="adj" fmla="val 29325"/>
          </a:avLst>
        </a:prstGeom>
        <a:solidFill>
          <a:schemeClr val="accent4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 baseline="0">
              <a:latin typeface="Arial" panose="020B0604020202020204" pitchFamily="34" charset="0"/>
              <a:cs typeface="Arial" panose="020B0604020202020204" pitchFamily="34" charset="0"/>
            </a:rPr>
            <a:t>Reset Main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Nexans">
      <a:dk1>
        <a:srgbClr val="000000"/>
      </a:dk1>
      <a:lt1>
        <a:sysClr val="window" lastClr="FFFFFF"/>
      </a:lt1>
      <a:dk2>
        <a:srgbClr val="212745"/>
      </a:dk2>
      <a:lt2>
        <a:srgbClr val="7098B1"/>
      </a:lt2>
      <a:accent1>
        <a:srgbClr val="B9D9EA"/>
      </a:accent1>
      <a:accent2>
        <a:srgbClr val="FFE97E"/>
      </a:accent2>
      <a:accent3>
        <a:srgbClr val="FF8021"/>
      </a:accent3>
      <a:accent4>
        <a:srgbClr val="F14124"/>
      </a:accent4>
      <a:accent5>
        <a:srgbClr val="E82319"/>
      </a:accent5>
      <a:accent6>
        <a:srgbClr val="D8D8D8"/>
      </a:accent6>
      <a:hlink>
        <a:srgbClr val="385DAA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autoPageBreaks="0"/>
  </sheetPr>
  <dimension ref="A1:T99"/>
  <sheetViews>
    <sheetView showRowColHeaders="0" tabSelected="1" zoomScale="115" zoomScaleNormal="115" workbookViewId="0">
      <selection activeCell="I2" sqref="I2"/>
    </sheetView>
  </sheetViews>
  <sheetFormatPr baseColWidth="10" defaultColWidth="12" defaultRowHeight="11.25" x14ac:dyDescent="0.2"/>
  <cols>
    <col min="1" max="1" width="5.1640625" style="3" customWidth="1"/>
    <col min="2" max="2" width="3.6640625" style="3" customWidth="1"/>
    <col min="3" max="3" width="6.5" style="3" customWidth="1"/>
    <col min="4" max="4" width="14.5" style="3" customWidth="1"/>
    <col min="5" max="5" width="22.5" style="3" customWidth="1"/>
    <col min="6" max="6" width="16.33203125" style="3" customWidth="1"/>
    <col min="7" max="7" width="1.33203125" style="3" customWidth="1"/>
    <col min="8" max="8" width="14.5" style="3" customWidth="1"/>
    <col min="9" max="9" width="2.6640625" style="3" customWidth="1"/>
    <col min="10" max="10" width="3.6640625" style="3" customWidth="1"/>
    <col min="11" max="11" width="13.33203125" style="3" customWidth="1"/>
    <col min="12" max="12" width="7.1640625" style="3" customWidth="1"/>
    <col min="13" max="14" width="14.1640625" style="3" customWidth="1"/>
    <col min="15" max="15" width="1.33203125" style="3" customWidth="1"/>
    <col min="16" max="16" width="16" style="3" customWidth="1"/>
    <col min="17" max="17" width="2.1640625" style="3" customWidth="1"/>
    <col min="18" max="18" width="17.1640625" style="3" customWidth="1"/>
    <col min="19" max="19" width="16.6640625" style="3" customWidth="1"/>
    <col min="20" max="24" width="12" style="3"/>
    <col min="25" max="25" width="19.1640625" style="3" bestFit="1" customWidth="1"/>
    <col min="26" max="26" width="1.6640625" style="3" customWidth="1"/>
    <col min="27" max="27" width="18.5" style="3" customWidth="1"/>
    <col min="28" max="16384" width="12" style="3"/>
  </cols>
  <sheetData>
    <row r="1" spans="1:19" ht="12.75" customHeight="1" x14ac:dyDescent="0.2"/>
    <row r="2" spans="1:19" s="2" customFormat="1" ht="24" customHeight="1" x14ac:dyDescent="0.2">
      <c r="B2" s="81" t="str">
        <f>Text!B9</f>
        <v>模拟计算器</v>
      </c>
      <c r="C2" s="67"/>
      <c r="D2" s="68"/>
      <c r="F2" s="67"/>
      <c r="G2" s="67"/>
      <c r="H2" s="67"/>
      <c r="I2" s="80"/>
      <c r="J2" s="69"/>
      <c r="K2" s="69"/>
      <c r="L2" s="69"/>
      <c r="M2" s="69"/>
      <c r="N2" s="69"/>
      <c r="O2" s="69"/>
      <c r="P2" s="69"/>
      <c r="Q2" s="67"/>
    </row>
    <row r="3" spans="1:19" ht="13.5" customHeight="1" x14ac:dyDescent="0.2"/>
    <row r="4" spans="1:19" x14ac:dyDescent="0.2">
      <c r="B4" s="17" t="str">
        <f>Text!B10</f>
        <v>这个模拟器可以让您预估自己的ACT 2022认购限额，以及投资收益。</v>
      </c>
    </row>
    <row r="5" spans="1:19" ht="5.25" customHeight="1" x14ac:dyDescent="0.2">
      <c r="B5" s="17"/>
    </row>
    <row r="6" spans="1:19" ht="6.75" customHeight="1" x14ac:dyDescent="0.2"/>
    <row r="7" spans="1:19" ht="18" x14ac:dyDescent="0.25">
      <c r="B7" s="77" t="str">
        <f>Text!B12</f>
        <v>您的ACT 2022认购限额是多少呢？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9" ht="6" customHeight="1" x14ac:dyDescent="0.2">
      <c r="S8" s="70"/>
    </row>
    <row r="9" spans="1:19" x14ac:dyDescent="0.2">
      <c r="C9" s="260" t="str">
        <f>Text!B13</f>
        <v>鉴于SAR机制的优势，您在ACT 2022中的个人认购额的6倍最多等于你2022年估计年薪总额的25%。更多细节，请参考ACT 2022 手册。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97"/>
      <c r="O9" s="97"/>
      <c r="P9" s="97"/>
      <c r="Q9" s="97"/>
    </row>
    <row r="10" spans="1:19" ht="4.5" customHeight="1" x14ac:dyDescent="0.2">
      <c r="S10" s="70"/>
    </row>
    <row r="11" spans="1:19" ht="15" customHeight="1" x14ac:dyDescent="0.2">
      <c r="C11" s="263" t="str">
        <f>Text!B18</f>
        <v>为了计算您ACT 2022年的认购限额，请输入您大致的2022年税前年薪（包含奖金）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95"/>
      <c r="P11" s="248"/>
      <c r="Q11" s="95"/>
    </row>
    <row r="12" spans="1:19" ht="3.75" customHeight="1" x14ac:dyDescent="0.2">
      <c r="C12" s="85"/>
      <c r="D12" s="85"/>
      <c r="E12" s="85"/>
      <c r="F12" s="85"/>
      <c r="G12" s="85"/>
      <c r="H12" s="85"/>
      <c r="I12" s="85"/>
      <c r="J12" s="99"/>
      <c r="Q12" s="95"/>
    </row>
    <row r="13" spans="1:19" x14ac:dyDescent="0.2">
      <c r="A13" s="265" t="str">
        <f>Text!B16</f>
        <v>或者</v>
      </c>
      <c r="B13" s="265"/>
      <c r="C13" s="231" t="str">
        <f>Text!B15</f>
        <v>您在2022年5月9日至24日的预订期内进行认购。</v>
      </c>
      <c r="E13" s="18"/>
      <c r="F13" s="18"/>
      <c r="Q13" s="18"/>
    </row>
    <row r="14" spans="1:19" x14ac:dyDescent="0.2">
      <c r="A14" s="265"/>
      <c r="B14" s="265"/>
      <c r="C14" s="231" t="str">
        <f>Text!B17</f>
        <v>您未在预订期内认购，但希望在撤销调整期（2022年6月23日至28日）进行认购。</v>
      </c>
      <c r="E14" s="18"/>
      <c r="F14" s="18"/>
      <c r="Q14" s="18"/>
    </row>
    <row r="15" spans="1:19" ht="12" customHeight="1" x14ac:dyDescent="0.2">
      <c r="C15" s="232" t="str">
        <f>IF(D95=TRUE,VBAmsg0,"")</f>
        <v/>
      </c>
      <c r="D15" s="4"/>
      <c r="E15" s="4"/>
      <c r="I15" s="4"/>
      <c r="J15" s="4"/>
      <c r="L15" s="79"/>
      <c r="M15" s="79"/>
      <c r="N15" s="79"/>
      <c r="O15" s="79"/>
      <c r="P15" s="79"/>
    </row>
    <row r="16" spans="1:19" ht="14.25" customHeight="1" x14ac:dyDescent="0.2">
      <c r="D16" s="48" t="str">
        <f>Text!B22</f>
        <v>您ACT 2022可认购的上限为：</v>
      </c>
      <c r="E16" s="18"/>
      <c r="I16" s="71"/>
      <c r="J16" s="71"/>
      <c r="M16" s="86"/>
      <c r="N16" s="86"/>
      <c r="O16" s="86"/>
      <c r="P16" s="249" t="str">
        <f>IF(RAB="","",IF(Periode_Reservation=TRUE,PlafondPEE,MIN(PlafondPEE,Plafond_période2)))</f>
        <v/>
      </c>
    </row>
    <row r="17" spans="2:20" ht="18" customHeight="1" x14ac:dyDescent="0.2">
      <c r="D17" s="48"/>
      <c r="E17" s="18"/>
      <c r="I17" s="71"/>
      <c r="J17" s="71"/>
      <c r="K17" s="71"/>
      <c r="L17" s="71"/>
      <c r="M17" s="71"/>
      <c r="N17" s="71"/>
      <c r="O17" s="71"/>
      <c r="P17" s="71"/>
      <c r="Q17" s="18"/>
    </row>
    <row r="18" spans="2:20" ht="15.75" customHeight="1" x14ac:dyDescent="0.2">
      <c r="B18" s="233" t="str">
        <f>IF(OR(PlafondApport&lt;APmin_devise,AND(Apport&lt;&gt;"",RAB=""),Apport&gt;PlafondApport),-100,"")</f>
        <v/>
      </c>
      <c r="C18" s="266" t="str">
        <f>IF(PlafondApport&lt;APmin_devise,VBAmsg1,IF(AND(RAB&lt;&gt;"",Apport=""),VBAmsg2,IF(AND(Apport&lt;&gt;"",RAB=""),VBAmsg5,IF(Apport&gt;PlafondApport,VBAmsg4,""))))</f>
        <v/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39"/>
    </row>
    <row r="19" spans="2:20" ht="10.5" customHeight="1" x14ac:dyDescent="0.2">
      <c r="T19" s="70"/>
    </row>
    <row r="20" spans="2:20" s="2" customFormat="1" ht="17.25" customHeight="1" x14ac:dyDescent="0.25">
      <c r="B20" s="77" t="str">
        <f>Text!B24</f>
        <v>ACT 2022可以带来多少收益？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4"/>
    </row>
    <row r="21" spans="2:20" ht="6" customHeight="1" x14ac:dyDescent="0.2">
      <c r="C21" s="1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20" x14ac:dyDescent="0.2">
      <c r="C22" s="16" t="str">
        <f>Text!B25</f>
        <v>您希望根据耐克森股价的变化，计算出您在计划结束时可能得到的金额。</v>
      </c>
      <c r="D22" s="16"/>
      <c r="E22" s="16"/>
    </row>
    <row r="23" spans="2:20" ht="4.5" customHeight="1" x14ac:dyDescent="0.2">
      <c r="C23" s="17"/>
    </row>
    <row r="24" spans="2:20" s="2" customFormat="1" ht="5.25" customHeight="1" x14ac:dyDescent="0.2">
      <c r="C24" s="269" t="str">
        <f>Text!B29</f>
        <v>您的个人认购金额（在Actionnariat Nexans项下的）</v>
      </c>
      <c r="D24" s="269"/>
      <c r="E24" s="269"/>
      <c r="F24" s="269"/>
      <c r="H24" s="272"/>
      <c r="K24" s="270" t="str">
        <f>Text!B33</f>
        <v>公司匹配部分（在Actionnariat Nexans项下的）</v>
      </c>
      <c r="L24" s="270"/>
      <c r="M24" s="270"/>
      <c r="N24" s="270"/>
      <c r="O24" s="3"/>
      <c r="P24" s="275" t="str">
        <f>IF(ApportEUR="","",Abondement_EUR/IF(Currency_par="Ccy/EUR",Hyp_initialFX,1/Hyp_initialFX))</f>
        <v/>
      </c>
    </row>
    <row r="25" spans="2:20" s="2" customFormat="1" x14ac:dyDescent="0.2">
      <c r="C25" s="269"/>
      <c r="D25" s="269"/>
      <c r="E25" s="269"/>
      <c r="F25" s="269"/>
      <c r="H25" s="273"/>
      <c r="K25" s="270"/>
      <c r="L25" s="270"/>
      <c r="M25" s="270"/>
      <c r="N25" s="270"/>
      <c r="O25" s="3"/>
      <c r="P25" s="276"/>
    </row>
    <row r="26" spans="2:20" s="2" customFormat="1" ht="5.25" customHeight="1" x14ac:dyDescent="0.2">
      <c r="C26" s="269"/>
      <c r="D26" s="269"/>
      <c r="E26" s="269"/>
      <c r="F26" s="269"/>
      <c r="H26" s="274"/>
      <c r="K26" s="270"/>
      <c r="L26" s="270"/>
      <c r="M26" s="270"/>
      <c r="N26" s="270"/>
      <c r="O26" s="3"/>
      <c r="P26" s="277"/>
    </row>
    <row r="27" spans="2:20" ht="2.25" customHeight="1" x14ac:dyDescent="0.2">
      <c r="C27" s="17"/>
    </row>
    <row r="28" spans="2:20" x14ac:dyDescent="0.2">
      <c r="C28" s="51" t="str">
        <f>Text!B30</f>
        <v>占最高限额的%</v>
      </c>
      <c r="D28" s="52"/>
      <c r="E28" s="52"/>
      <c r="F28" s="52"/>
      <c r="G28" s="52"/>
      <c r="H28" s="45" t="str">
        <f>IF(OR(RAB="",Apport=0),"",Apport/PlafondApport)</f>
        <v/>
      </c>
      <c r="K28" s="3" t="str">
        <f>IF(Currency_code="EUR",C28,"")</f>
        <v/>
      </c>
      <c r="L28" s="45"/>
      <c r="M28" s="45"/>
      <c r="N28" s="45"/>
      <c r="O28" s="45"/>
      <c r="P28" s="45" t="str">
        <f>IF(Currency_code="EUR",IF(P24="","",P24/Data!F24),"")</f>
        <v/>
      </c>
      <c r="Q28" s="44"/>
      <c r="T28" s="70"/>
    </row>
    <row r="29" spans="2:20" ht="3.75" customHeight="1" x14ac:dyDescent="0.2">
      <c r="C29" s="17"/>
    </row>
    <row r="30" spans="2:20" ht="14.25" customHeight="1" x14ac:dyDescent="0.2">
      <c r="C30" s="295" t="str">
        <f>Text!B37</f>
        <v>如果初始人民幣/歐元匯率為：</v>
      </c>
      <c r="D30" s="2"/>
      <c r="E30" s="2"/>
      <c r="F30" s="258" t="str">
        <f>"1 "&amp;IF(Currency_par="Ccy/EUR",Currency_code,"EUR")&amp;" ="</f>
        <v>1 CNY =</v>
      </c>
      <c r="G30" s="2"/>
      <c r="H30" s="181">
        <v>0.14000000000000001</v>
      </c>
      <c r="I30" s="296" t="str">
        <f>IF(Hyp_initialFX="",VBAmsg6,"")</f>
        <v/>
      </c>
      <c r="J30" s="2"/>
      <c r="K30" s="2"/>
      <c r="L30" s="2"/>
      <c r="M30" s="2"/>
      <c r="N30" s="2"/>
      <c r="O30" s="2"/>
      <c r="P30" s="2"/>
    </row>
    <row r="31" spans="2:20" ht="6" customHeight="1" x14ac:dyDescent="0.2">
      <c r="C31" s="17"/>
    </row>
    <row r="32" spans="2:20" ht="14.25" customHeight="1" x14ac:dyDescent="0.2">
      <c r="C32" s="17" t="str">
        <f>Text!B38</f>
        <v>然后，折算成欧元，您的个人出资为：</v>
      </c>
      <c r="H32" s="184" t="str">
        <f>IF(OR(Apport="",Hyp_initialFX=""),"",Apport*IF(Currency_par="Ccy/EUR",Hyp_initialFX,1/Hyp_initialFX))</f>
        <v/>
      </c>
      <c r="K32" s="3" t="str">
        <f>Text!B39</f>
        <v>公司的匹配部分为,欧元計：</v>
      </c>
      <c r="P32" s="184" t="str">
        <f>IF(ApportEUR="","",IF(ApportEUR&gt;=Data!$D$22,Data!$F$22+IF(ApportEUR&gt;Data!$D$23,Data!$F$23,(ApportEUR-Data!$C$23)*Data!$E$23),Data!$E$22*ApportEUR))</f>
        <v/>
      </c>
    </row>
    <row r="33" spans="1:19" ht="2.25" customHeight="1" x14ac:dyDescent="0.2">
      <c r="C33" s="17"/>
      <c r="H33" s="96"/>
      <c r="P33" s="96"/>
    </row>
    <row r="34" spans="1:19" ht="9.75" customHeight="1" x14ac:dyDescent="0.2">
      <c r="C34" s="195" t="str">
        <f>Text!B40</f>
        <v>最低个人认购额为10欧元。</v>
      </c>
      <c r="K34" s="51" t="str">
        <f>C28</f>
        <v>占最高限额的%</v>
      </c>
      <c r="P34" s="45" t="str">
        <f>IF(P32="","",P32/Data!F24)</f>
        <v/>
      </c>
    </row>
    <row r="35" spans="1:19" ht="3" customHeight="1" x14ac:dyDescent="0.2"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9" ht="4.5" customHeight="1" x14ac:dyDescent="0.2">
      <c r="C36" s="17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9" ht="9" customHeight="1" x14ac:dyDescent="0.2">
      <c r="C37" s="17"/>
    </row>
    <row r="38" spans="1:19" ht="3.75" hidden="1" customHeight="1" x14ac:dyDescent="0.2">
      <c r="C38" s="261" t="str">
        <f>Text!B43</f>
        <v>假设耐克森股价在5年锁定期到期时为：</v>
      </c>
      <c r="D38" s="261"/>
      <c r="E38" s="261"/>
      <c r="F38" s="261"/>
      <c r="G38" s="261"/>
      <c r="H38" s="261"/>
      <c r="I38" s="198"/>
      <c r="J38" s="198"/>
      <c r="K38" s="198"/>
      <c r="L38" s="198"/>
      <c r="M38" s="198"/>
      <c r="N38" s="198"/>
      <c r="O38" s="203"/>
      <c r="P38" s="198"/>
    </row>
    <row r="39" spans="1:19" x14ac:dyDescent="0.2">
      <c r="C39" s="261"/>
      <c r="D39" s="261"/>
      <c r="E39" s="261"/>
      <c r="F39" s="261"/>
      <c r="G39" s="261"/>
      <c r="H39" s="261"/>
      <c r="I39" s="198"/>
      <c r="J39" s="198"/>
      <c r="K39" s="198"/>
      <c r="L39" s="198"/>
      <c r="M39" s="198"/>
      <c r="N39" s="198"/>
      <c r="O39" s="203"/>
      <c r="P39" s="198"/>
    </row>
    <row r="40" spans="1:19" ht="3.75" customHeight="1" x14ac:dyDescent="0.2">
      <c r="C40" s="261"/>
      <c r="D40" s="261"/>
      <c r="E40" s="261"/>
      <c r="F40" s="261"/>
      <c r="G40" s="261"/>
      <c r="H40" s="261"/>
      <c r="I40" s="198"/>
      <c r="J40" s="198"/>
      <c r="K40" s="198"/>
      <c r="L40" s="198"/>
      <c r="M40" s="198"/>
      <c r="N40" s="198"/>
      <c r="O40" s="203"/>
      <c r="P40" s="199"/>
    </row>
    <row r="41" spans="1:19" ht="14.25" customHeight="1" x14ac:dyDescent="0.2">
      <c r="C41" s="196"/>
      <c r="D41" s="196"/>
      <c r="E41" s="196"/>
      <c r="F41" s="197"/>
      <c r="G41" s="197"/>
      <c r="H41" s="237">
        <f>(ScrollValue_CF-100)/100</f>
        <v>0</v>
      </c>
      <c r="I41" s="202" t="s">
        <v>140</v>
      </c>
      <c r="J41" s="202"/>
      <c r="K41" s="199"/>
      <c r="L41" s="199"/>
      <c r="M41" s="199"/>
      <c r="N41" s="199"/>
      <c r="O41" s="199"/>
      <c r="P41" s="199"/>
    </row>
    <row r="42" spans="1:19" ht="3" customHeight="1" x14ac:dyDescent="0.2">
      <c r="C42" s="196"/>
      <c r="D42" s="196"/>
      <c r="E42" s="196"/>
      <c r="F42" s="197"/>
      <c r="G42" s="197"/>
      <c r="H42" s="197"/>
      <c r="I42" s="198"/>
      <c r="J42" s="198"/>
      <c r="K42" s="199"/>
      <c r="L42" s="199"/>
      <c r="M42" s="199"/>
      <c r="N42" s="199"/>
      <c r="O42" s="199"/>
      <c r="P42" s="199"/>
    </row>
    <row r="43" spans="1:19" x14ac:dyDescent="0.2">
      <c r="C43" s="200" t="str">
        <f>Text!$B$44</f>
        <v>(1）与耐克森股价的参考价格相比</v>
      </c>
      <c r="D43" s="201"/>
      <c r="E43" s="201"/>
      <c r="F43" s="197"/>
      <c r="G43" s="197"/>
      <c r="H43" s="197"/>
      <c r="I43" s="198"/>
      <c r="J43" s="198"/>
      <c r="K43" s="199"/>
      <c r="L43" s="199"/>
      <c r="M43" s="199"/>
      <c r="N43" s="199"/>
      <c r="O43" s="199"/>
      <c r="P43" s="199"/>
      <c r="Q43" s="75"/>
    </row>
    <row r="44" spans="1:19" ht="17.25" customHeight="1" x14ac:dyDescent="0.2">
      <c r="C44" s="22"/>
      <c r="D44" s="24"/>
      <c r="E44" s="19"/>
      <c r="G44" s="84"/>
      <c r="K44" s="21"/>
      <c r="L44" s="21"/>
      <c r="M44" s="21"/>
      <c r="N44" s="21"/>
      <c r="O44" s="76"/>
      <c r="P44" s="21"/>
      <c r="R44" s="20"/>
      <c r="S44" s="23"/>
    </row>
    <row r="45" spans="1:19" ht="21" customHeight="1" x14ac:dyDescent="0.2">
      <c r="A45" s="2"/>
      <c r="B45" s="2"/>
      <c r="C45" s="264" t="str">
        <f>Text!B45</f>
        <v>基于您的个人出资，您所认购的Actionnariat Nexans单位价值 **</v>
      </c>
      <c r="D45" s="264"/>
      <c r="E45" s="264"/>
      <c r="F45" s="264"/>
      <c r="G45" s="84"/>
      <c r="H45" s="180" t="str">
        <f>IF(OR(ApportEUR="",PlafondApport="",Respect_Plafond="NON",ApportEUR&lt;APmin),"",ApportEUR/(1-Décote)*(1+H41))</f>
        <v/>
      </c>
      <c r="J45" s="162" t="s">
        <v>138</v>
      </c>
      <c r="K45" s="264" t="str">
        <f>Text!B46</f>
        <v>基于匹配部分，您所认购的Actionnariat Nexans单位价值 *</v>
      </c>
      <c r="L45" s="264"/>
      <c r="M45" s="264"/>
      <c r="N45" s="264"/>
      <c r="O45" s="76"/>
      <c r="P45" s="180" t="str">
        <f>IF(H45="","",Abondement_EUR/(1-Décote)*(1+H41))</f>
        <v/>
      </c>
      <c r="Q45" s="19"/>
      <c r="R45" s="20"/>
      <c r="S45" s="23"/>
    </row>
    <row r="46" spans="1:19" ht="6.75" customHeight="1" x14ac:dyDescent="0.2">
      <c r="A46" s="2"/>
      <c r="B46" s="2"/>
      <c r="C46" s="90"/>
      <c r="D46" s="90"/>
      <c r="E46" s="90"/>
      <c r="F46" s="90"/>
      <c r="G46" s="84"/>
      <c r="H46" s="98"/>
      <c r="I46" s="163"/>
      <c r="J46" s="163"/>
      <c r="L46" s="90"/>
      <c r="M46" s="90"/>
      <c r="N46" s="90"/>
      <c r="O46" s="76"/>
      <c r="P46" s="98"/>
      <c r="Q46" s="19"/>
      <c r="R46" s="20"/>
      <c r="S46" s="23"/>
    </row>
    <row r="47" spans="1:19" ht="21" customHeight="1" x14ac:dyDescent="0.2">
      <c r="A47" s="2"/>
      <c r="B47" s="172" t="s">
        <v>138</v>
      </c>
      <c r="C47" s="264" t="str">
        <f>Text!B47</f>
        <v>SAR保障：对您个人欧元出资的保护 *</v>
      </c>
      <c r="D47" s="264"/>
      <c r="E47" s="264"/>
      <c r="F47" s="264"/>
      <c r="G47" s="84"/>
      <c r="H47" s="180" t="str">
        <f>IF(H45="","",MAX(ApportEUR-H45,0))</f>
        <v/>
      </c>
      <c r="L47" s="160"/>
      <c r="M47" s="90"/>
      <c r="N47" s="90"/>
      <c r="O47" s="76"/>
      <c r="P47" s="98"/>
      <c r="Q47" s="19"/>
      <c r="R47" s="20"/>
      <c r="S47" s="23"/>
    </row>
    <row r="48" spans="1:19" ht="3.75" customHeight="1" x14ac:dyDescent="0.2">
      <c r="A48" s="2"/>
      <c r="B48" s="162"/>
      <c r="C48" s="162"/>
      <c r="D48" s="162"/>
      <c r="E48" s="162"/>
      <c r="F48" s="162"/>
      <c r="G48" s="162"/>
      <c r="H48" s="157"/>
      <c r="L48" s="160"/>
      <c r="M48" s="90"/>
      <c r="N48" s="90"/>
      <c r="O48" s="76"/>
      <c r="P48" s="98"/>
      <c r="Q48" s="19"/>
      <c r="R48" s="20"/>
      <c r="S48" s="23"/>
    </row>
    <row r="49" spans="1:19" ht="6.75" customHeight="1" x14ac:dyDescent="0.2">
      <c r="A49" s="2"/>
      <c r="B49" s="162"/>
      <c r="C49" s="162"/>
      <c r="D49" s="162"/>
      <c r="E49" s="162"/>
      <c r="F49" s="162"/>
      <c r="G49" s="162"/>
      <c r="H49" s="157"/>
      <c r="L49" s="160"/>
      <c r="M49" s="90"/>
      <c r="N49" s="90"/>
      <c r="O49" s="76"/>
      <c r="P49" s="98"/>
      <c r="Q49" s="19"/>
      <c r="R49" s="20"/>
      <c r="S49" s="23"/>
    </row>
    <row r="50" spans="1:19" ht="6" customHeight="1" x14ac:dyDescent="0.2">
      <c r="A50" s="2"/>
      <c r="B50" s="162"/>
      <c r="C50" s="171"/>
      <c r="D50" s="171"/>
      <c r="E50" s="171"/>
      <c r="F50" s="171"/>
      <c r="G50" s="84"/>
      <c r="H50" s="157"/>
      <c r="L50" s="160"/>
      <c r="M50" s="90"/>
      <c r="N50" s="90"/>
      <c r="O50" s="76"/>
      <c r="P50" s="98"/>
      <c r="Q50" s="19"/>
      <c r="R50" s="20"/>
      <c r="S50" s="23"/>
    </row>
    <row r="51" spans="1:19" ht="3.75" customHeight="1" x14ac:dyDescent="0.2">
      <c r="A51" s="2"/>
      <c r="B51" s="2"/>
      <c r="C51" s="271" t="str">
        <f>Text!B42</f>
        <v>假设被保护的平均值在5年间增长</v>
      </c>
      <c r="D51" s="271"/>
      <c r="E51" s="271"/>
      <c r="F51" s="271"/>
      <c r="G51" s="197"/>
      <c r="H51" s="209"/>
      <c r="I51" s="198"/>
      <c r="J51" s="198"/>
      <c r="K51" s="206"/>
      <c r="L51" s="207"/>
      <c r="M51" s="204"/>
      <c r="N51" s="204"/>
      <c r="O51" s="199"/>
      <c r="P51" s="209"/>
      <c r="Q51" s="19"/>
      <c r="R51" s="20"/>
      <c r="S51" s="23"/>
    </row>
    <row r="52" spans="1:19" x14ac:dyDescent="0.2">
      <c r="A52" s="2"/>
      <c r="B52" s="2"/>
      <c r="C52" s="271"/>
      <c r="D52" s="271"/>
      <c r="E52" s="271"/>
      <c r="F52" s="271"/>
      <c r="G52" s="197"/>
      <c r="H52" s="198"/>
      <c r="I52" s="198"/>
      <c r="J52" s="198"/>
      <c r="K52" s="198"/>
      <c r="L52" s="207"/>
      <c r="M52" s="204"/>
      <c r="N52" s="204"/>
      <c r="O52" s="199"/>
      <c r="P52" s="209"/>
      <c r="Q52" s="19"/>
      <c r="R52" s="20"/>
      <c r="S52" s="23"/>
    </row>
    <row r="53" spans="1:19" ht="3.75" customHeight="1" x14ac:dyDescent="0.2">
      <c r="A53" s="2"/>
      <c r="B53" s="2"/>
      <c r="C53" s="271"/>
      <c r="D53" s="271"/>
      <c r="E53" s="271"/>
      <c r="F53" s="271"/>
      <c r="G53" s="197"/>
      <c r="H53" s="209"/>
      <c r="I53" s="198"/>
      <c r="J53" s="198"/>
      <c r="K53" s="206"/>
      <c r="L53" s="207"/>
      <c r="M53" s="198"/>
      <c r="N53" s="198"/>
      <c r="O53" s="198"/>
      <c r="P53" s="198"/>
      <c r="Q53" s="19"/>
      <c r="R53" s="20"/>
      <c r="S53" s="23"/>
    </row>
    <row r="54" spans="1:19" ht="14.25" customHeight="1" x14ac:dyDescent="0.2">
      <c r="A54" s="2"/>
      <c r="B54" s="2"/>
      <c r="C54" s="204"/>
      <c r="D54" s="204"/>
      <c r="E54" s="204"/>
      <c r="F54" s="204"/>
      <c r="G54" s="197"/>
      <c r="H54" s="237">
        <f>ScrollValue_CMF/100</f>
        <v>0</v>
      </c>
      <c r="I54" s="202" t="s">
        <v>140</v>
      </c>
      <c r="J54" s="198"/>
      <c r="K54" s="206"/>
      <c r="L54" s="207"/>
      <c r="M54" s="198"/>
      <c r="N54" s="198"/>
      <c r="O54" s="198"/>
      <c r="P54" s="198"/>
      <c r="Q54" s="19"/>
      <c r="R54" s="20"/>
      <c r="S54" s="23"/>
    </row>
    <row r="55" spans="1:19" ht="3" customHeight="1" x14ac:dyDescent="0.2">
      <c r="A55" s="2"/>
      <c r="B55" s="2"/>
      <c r="C55" s="204"/>
      <c r="D55" s="204"/>
      <c r="E55" s="204"/>
      <c r="F55" s="204"/>
      <c r="G55" s="197"/>
      <c r="H55" s="205"/>
      <c r="I55" s="202"/>
      <c r="J55" s="198"/>
      <c r="K55" s="206"/>
      <c r="L55" s="207"/>
      <c r="M55" s="198"/>
      <c r="N55" s="198"/>
      <c r="O55" s="198"/>
      <c r="P55" s="198"/>
      <c r="Q55" s="19"/>
      <c r="R55" s="20"/>
      <c r="S55" s="23"/>
    </row>
    <row r="56" spans="1:19" ht="12" customHeight="1" x14ac:dyDescent="0.2">
      <c r="A56" s="2"/>
      <c r="B56" s="2"/>
      <c r="C56" s="208" t="str">
        <f>Text!$B$44</f>
        <v>(1）与耐克森股价的参考价格相比</v>
      </c>
      <c r="D56" s="204"/>
      <c r="E56" s="204"/>
      <c r="F56" s="204"/>
      <c r="G56" s="197"/>
      <c r="H56" s="209"/>
      <c r="I56" s="198"/>
      <c r="J56" s="198"/>
      <c r="K56" s="206"/>
      <c r="L56" s="207"/>
      <c r="M56" s="198"/>
      <c r="N56" s="198"/>
      <c r="O56" s="198"/>
      <c r="P56" s="198"/>
      <c r="Q56" s="19"/>
      <c r="R56" s="20"/>
      <c r="S56" s="23"/>
    </row>
    <row r="57" spans="1:19" ht="6.75" customHeight="1" x14ac:dyDescent="0.2">
      <c r="A57" s="2"/>
      <c r="B57" s="2"/>
      <c r="C57" s="90"/>
      <c r="D57" s="90"/>
      <c r="E57" s="90"/>
      <c r="F57" s="90"/>
      <c r="G57" s="84"/>
      <c r="H57" s="98"/>
      <c r="K57" s="158"/>
      <c r="L57" s="161"/>
      <c r="M57" s="90"/>
      <c r="N57" s="90"/>
      <c r="O57" s="76"/>
      <c r="P57" s="98"/>
      <c r="Q57" s="19"/>
      <c r="R57" s="20"/>
      <c r="S57" s="23"/>
    </row>
    <row r="58" spans="1:19" ht="21" customHeight="1" x14ac:dyDescent="0.2">
      <c r="A58" s="2"/>
      <c r="B58" s="172" t="s">
        <v>138</v>
      </c>
      <c r="C58" s="264" t="str">
        <f>Text!B48</f>
        <v>SAR奖励：受保护的平均值增长的乘数系数 *</v>
      </c>
      <c r="D58" s="264"/>
      <c r="E58" s="264"/>
      <c r="F58" s="264"/>
      <c r="G58" s="84"/>
      <c r="H58" s="180" t="str">
        <f>IF(H45="","",ApportEUR/(1-Décote)*Multiple*HausseMoyenne)</f>
        <v/>
      </c>
      <c r="K58" s="158"/>
      <c r="L58" s="160"/>
      <c r="M58" s="90"/>
      <c r="N58" s="90"/>
      <c r="O58" s="76"/>
      <c r="P58" s="98"/>
      <c r="Q58" s="19"/>
      <c r="R58" s="20"/>
      <c r="S58" s="23"/>
    </row>
    <row r="59" spans="1:19" ht="6" customHeight="1" thickBot="1" x14ac:dyDescent="0.25">
      <c r="A59" s="2"/>
      <c r="B59" s="2"/>
      <c r="C59" s="164"/>
      <c r="D59" s="164"/>
      <c r="E59" s="164"/>
      <c r="F59" s="164"/>
      <c r="G59" s="165"/>
      <c r="H59" s="166"/>
      <c r="I59" s="167"/>
      <c r="J59" s="167"/>
      <c r="K59" s="168"/>
      <c r="L59" s="164"/>
      <c r="M59" s="164"/>
      <c r="N59" s="164"/>
      <c r="O59" s="169"/>
      <c r="P59" s="166"/>
      <c r="Q59" s="19"/>
      <c r="R59" s="20"/>
      <c r="S59" s="23"/>
    </row>
    <row r="60" spans="1:19" ht="5.25" customHeight="1" x14ac:dyDescent="0.2">
      <c r="A60" s="2"/>
      <c r="B60" s="2"/>
      <c r="C60" s="90"/>
      <c r="D60" s="90"/>
      <c r="E60" s="90"/>
      <c r="F60" s="90"/>
      <c r="G60" s="84"/>
      <c r="H60" s="98"/>
      <c r="I60" s="87"/>
      <c r="J60" s="87"/>
      <c r="K60" s="75"/>
      <c r="L60" s="90"/>
      <c r="M60" s="90"/>
      <c r="N60" s="90"/>
      <c r="O60" s="76"/>
      <c r="P60" s="98"/>
      <c r="Q60" s="19"/>
      <c r="R60" s="20"/>
      <c r="S60" s="23"/>
    </row>
    <row r="61" spans="1:19" ht="22.5" customHeight="1" x14ac:dyDescent="0.2">
      <c r="A61" s="2"/>
      <c r="B61" s="163" t="s">
        <v>139</v>
      </c>
      <c r="C61" s="279" t="str">
        <f>IF(H61="","",Text!B50)</f>
        <v/>
      </c>
      <c r="D61" s="279"/>
      <c r="E61" s="279"/>
      <c r="F61" s="279"/>
      <c r="G61" s="84"/>
      <c r="H61" s="180" t="str">
        <f>IF(H45="","",H45+P45+H47+H58)</f>
        <v/>
      </c>
      <c r="I61" s="87"/>
      <c r="J61" s="87"/>
      <c r="K61" s="75"/>
      <c r="L61" s="90"/>
      <c r="M61" s="90"/>
      <c r="N61" s="90"/>
      <c r="O61" s="76"/>
      <c r="P61" s="98"/>
      <c r="Q61" s="19"/>
      <c r="R61" s="20"/>
      <c r="S61" s="23"/>
    </row>
    <row r="62" spans="1:19" ht="4.5" customHeight="1" x14ac:dyDescent="0.2">
      <c r="A62" s="2"/>
      <c r="B62" s="163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R62" s="20"/>
      <c r="S62" s="23"/>
    </row>
    <row r="63" spans="1:19" ht="4.5" customHeight="1" x14ac:dyDescent="0.2">
      <c r="A63" s="2"/>
      <c r="B63" s="2"/>
      <c r="C63" s="90"/>
      <c r="D63" s="90"/>
      <c r="E63" s="90"/>
      <c r="F63" s="90"/>
      <c r="G63" s="90"/>
      <c r="H63" s="90"/>
      <c r="I63" s="90"/>
      <c r="J63" s="90"/>
      <c r="K63" s="75"/>
      <c r="L63" s="90"/>
      <c r="M63" s="90"/>
      <c r="N63" s="90"/>
      <c r="O63" s="76"/>
      <c r="P63" s="98"/>
      <c r="Q63" s="19"/>
      <c r="R63" s="20"/>
      <c r="S63" s="23"/>
    </row>
    <row r="64" spans="1:19" x14ac:dyDescent="0.2">
      <c r="A64" s="2"/>
      <c r="C64" s="93" t="str">
        <f>Text!B55</f>
        <v>您的资产对应人民币总价值将受到5年锁定期结束后的人民币对欧元汇率影响</v>
      </c>
      <c r="D64" s="94"/>
      <c r="E64" s="25"/>
      <c r="F64" s="4"/>
      <c r="G64" s="88"/>
      <c r="H64" s="88"/>
      <c r="I64" s="88"/>
      <c r="J64" s="88"/>
      <c r="K64" s="75"/>
      <c r="L64" s="90"/>
      <c r="M64" s="90"/>
      <c r="N64" s="90"/>
      <c r="O64" s="76"/>
      <c r="P64" s="98"/>
      <c r="Q64" s="19"/>
      <c r="R64" s="20"/>
      <c r="S64" s="23"/>
    </row>
    <row r="65" spans="1:19" ht="1.5" customHeight="1" x14ac:dyDescent="0.2">
      <c r="A65" s="2"/>
      <c r="C65" s="89"/>
      <c r="D65" s="24"/>
      <c r="E65" s="19"/>
      <c r="G65" s="88"/>
      <c r="H65" s="88"/>
      <c r="I65" s="88"/>
      <c r="J65" s="88"/>
      <c r="K65" s="75"/>
      <c r="L65" s="90"/>
      <c r="M65" s="90"/>
      <c r="N65" s="90"/>
      <c r="O65" s="76"/>
      <c r="P65" s="98"/>
      <c r="Q65" s="19"/>
      <c r="R65" s="20"/>
      <c r="S65" s="23"/>
    </row>
    <row r="66" spans="1:19" ht="8.25" hidden="1" customHeight="1" x14ac:dyDescent="0.2">
      <c r="A66" s="2"/>
      <c r="C66" s="262" t="str">
        <f>Text!B56</f>
        <v>假设锁定期结束时人民币对欧元汇率为：</v>
      </c>
      <c r="D66" s="262"/>
      <c r="E66" s="262"/>
      <c r="K66" s="75"/>
      <c r="L66" s="90"/>
      <c r="M66" s="90"/>
      <c r="N66" s="90"/>
      <c r="O66" s="76"/>
      <c r="P66" s="98"/>
      <c r="Q66" s="19"/>
      <c r="R66" s="20"/>
      <c r="S66" s="23"/>
    </row>
    <row r="67" spans="1:19" ht="14.25" customHeight="1" x14ac:dyDescent="0.2">
      <c r="A67" s="2"/>
      <c r="C67" s="262"/>
      <c r="D67" s="262"/>
      <c r="E67" s="262"/>
      <c r="F67" s="258" t="str">
        <f>F30</f>
        <v>1 CNY =</v>
      </c>
      <c r="G67" s="297"/>
      <c r="H67" s="181">
        <f>Hyp_initialFX</f>
        <v>0.14000000000000001</v>
      </c>
      <c r="I67" s="298"/>
      <c r="J67" s="75" t="str">
        <f>IF(OR(Hyp_initialFX="",Hyp_finalFX=""),"",IF(Hyp_finalFX=Hyp_initialFX,Text!B57,IF(OR(AND(Currency_par="Ccy/EUR",Hyp_finalFX&lt;Hyp_initialFX),AND(Currency_par="EUR/Ccy",Hyp_finalFX&gt;Hyp_initialFX)),Text!B58,Text!B60)&amp;" "&amp;ABS(ROUND((Hyp_finalFX/Hyp_initialFX-1)*100,1))&amp;"% "&amp;Text!B61))</f>
        <v>计划开始和结束时汇率无变化</v>
      </c>
      <c r="K67" s="2"/>
      <c r="L67" s="256"/>
      <c r="M67" s="256"/>
      <c r="N67" s="256"/>
      <c r="O67" s="256"/>
      <c r="P67" s="256"/>
      <c r="Q67" s="19"/>
      <c r="R67" s="20"/>
      <c r="S67" s="23"/>
    </row>
    <row r="68" spans="1:19" x14ac:dyDescent="0.2">
      <c r="A68" s="2"/>
      <c r="C68" s="75"/>
      <c r="D68" s="24"/>
      <c r="E68" s="19"/>
      <c r="F68" s="19"/>
      <c r="G68" s="19"/>
      <c r="H68" s="241" t="str">
        <f>IF(Hyp_finalFX="",VBAmsg7,"")</f>
        <v/>
      </c>
      <c r="I68" s="19"/>
      <c r="J68" s="19"/>
      <c r="K68" s="256"/>
      <c r="L68" s="256"/>
      <c r="M68" s="256"/>
      <c r="N68" s="256"/>
      <c r="O68" s="256"/>
      <c r="P68" s="256"/>
      <c r="Q68" s="19"/>
      <c r="R68" s="20"/>
      <c r="S68" s="23"/>
    </row>
    <row r="69" spans="1:19" ht="22.5" customHeight="1" x14ac:dyDescent="0.2">
      <c r="B69" s="163" t="str">
        <f>IF(Currency_code="EUR","=","")</f>
        <v/>
      </c>
      <c r="C69" s="278" t="str">
        <f>IF(AvoirsTotaux="","",Text!B62)</f>
        <v/>
      </c>
      <c r="D69" s="278"/>
      <c r="E69" s="278"/>
      <c r="F69" s="278"/>
      <c r="H69" s="250" t="str">
        <f>IF(OR(H61="",Hyp_finalFX=""),"",H61/IF(Currency_par="Ccy/EUR",Hyp_finalFX,1/Hyp_finalFX))</f>
        <v/>
      </c>
      <c r="K69" s="88"/>
      <c r="L69" s="88"/>
      <c r="M69" s="4"/>
      <c r="N69" s="25"/>
      <c r="O69" s="25"/>
      <c r="P69" s="25"/>
      <c r="Q69" s="19"/>
      <c r="R69" s="20"/>
      <c r="S69" s="23"/>
    </row>
    <row r="70" spans="1:19" x14ac:dyDescent="0.2">
      <c r="C70" s="238" t="str">
        <f>Text!B63</f>
        <v>总收益（基于您个人出资部分）* **</v>
      </c>
      <c r="D70" s="90"/>
      <c r="E70" s="76"/>
      <c r="H70" s="53" t="str">
        <f>IF(AvoirsTotaux="","",IF(AvoirsTotaux&gt;Apport,"+","")&amp;FIXED((AvoirsTotaux/Apport-1)*100,1)&amp;"%")</f>
        <v/>
      </c>
      <c r="K70" s="88"/>
      <c r="L70" s="88"/>
      <c r="N70" s="19"/>
      <c r="O70" s="19"/>
      <c r="P70" s="19"/>
      <c r="Q70" s="19"/>
      <c r="R70" s="20"/>
      <c r="S70" s="23"/>
    </row>
    <row r="71" spans="1:19" x14ac:dyDescent="0.2">
      <c r="C71" s="238" t="str">
        <f>Text!B64</f>
        <v>年化收益（基于您个人出资部分）* **</v>
      </c>
      <c r="D71" s="90"/>
      <c r="E71" s="76"/>
      <c r="H71" s="53" t="str">
        <f>IF(AvoirsTotaux="","",IF(AvoirsTotaux&gt;Apport,"+","")&amp;ROUND(((AvoirsTotaux/Apport)^(1/Blocage)-1)*100,1)&amp;Text!B65)</f>
        <v/>
      </c>
      <c r="K71" s="19"/>
      <c r="L71" s="19"/>
      <c r="M71" s="19"/>
      <c r="N71" s="19"/>
      <c r="O71" s="19"/>
      <c r="P71" s="19"/>
      <c r="Q71" s="19"/>
      <c r="R71" s="20"/>
      <c r="S71" s="23"/>
    </row>
    <row r="72" spans="1:19" ht="2.25" customHeight="1" x14ac:dyDescent="0.2">
      <c r="C72" s="159"/>
      <c r="D72" s="90"/>
      <c r="E72" s="76"/>
      <c r="H72" s="53"/>
      <c r="K72" s="19"/>
      <c r="L72" s="19"/>
      <c r="M72" s="19"/>
      <c r="N72" s="19"/>
      <c r="O72" s="19"/>
      <c r="P72" s="19"/>
      <c r="Q72" s="19"/>
      <c r="R72" s="20"/>
      <c r="S72" s="23"/>
    </row>
    <row r="73" spans="1:19" x14ac:dyDescent="0.2">
      <c r="C73" s="75" t="str">
        <f>Text!B53</f>
        <v>(*) 在扣除个税和社保之前</v>
      </c>
      <c r="D73" s="90"/>
      <c r="E73" s="76"/>
      <c r="H73" s="174"/>
      <c r="K73" s="75" t="str">
        <f>Text!B54</f>
        <v>(**) Actionnariat Nexans fund可能带来的股息红利除外</v>
      </c>
      <c r="L73" s="19"/>
      <c r="M73" s="19"/>
      <c r="N73" s="19"/>
      <c r="O73" s="19"/>
      <c r="P73" s="19"/>
      <c r="Q73" s="19"/>
      <c r="R73" s="20"/>
      <c r="S73" s="23"/>
    </row>
    <row r="74" spans="1:19" x14ac:dyDescent="0.2">
      <c r="C74" s="72"/>
      <c r="D74" s="24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20"/>
      <c r="S74" s="23"/>
    </row>
    <row r="75" spans="1:19" x14ac:dyDescent="0.2">
      <c r="B75" s="267" t="str">
        <f>Text!B67&amp;" "&amp;Text!B68</f>
        <v>请注意： 被保护的平均值的增长是基于60个月读取数据的平均值来计算，而非耐克森的最终股价。</v>
      </c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36"/>
      <c r="R75" s="20"/>
      <c r="S75" s="23"/>
    </row>
    <row r="76" spans="1:19" ht="11.25" customHeight="1" x14ac:dyDescent="0.2">
      <c r="C76" s="22"/>
      <c r="D76" s="24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0"/>
      <c r="S76" s="23"/>
    </row>
    <row r="77" spans="1:19" x14ac:dyDescent="0.2">
      <c r="B77" s="55"/>
      <c r="C77" s="55"/>
      <c r="D77" s="55"/>
      <c r="E77" s="54" t="str">
        <f>Text!B70</f>
        <v>重要信息：</v>
      </c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19"/>
      <c r="R77" s="20"/>
      <c r="S77" s="23"/>
    </row>
    <row r="78" spans="1:19" ht="4.5" customHeight="1" x14ac:dyDescent="0.2"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19"/>
      <c r="R78" s="20"/>
      <c r="S78" s="23"/>
    </row>
    <row r="79" spans="1:19" s="73" customFormat="1" ht="42.75" customHeight="1" x14ac:dyDescent="0.2">
      <c r="D79" s="74"/>
      <c r="E79" s="268" t="str">
        <f>Text!B71</f>
        <v>模拟计算器仅帮助您计算在ACT 2022中您可能获得的收益。您最终的投资收益由以下几个点决定：(i) t受保护的平均值在5年间的增长, (ii) 5年锁定期结束 后耐克森的股价, (iii) Actionnariat Nexans是否产生股息红利，以及 (iv) 人民币和欧元的汇率。耐克森未来的股价和人民币与欧元的汇率是无法被保证的， 其他可能对您的投资产生影响的因素本模拟计算器也并未包含（比如潜在的股息红利和个税及社保的影响）。更多可能对您投资产生影响的因素，您可以参考ACT 2022手册，关于SAR股票增值权，您也可以在本地附录及KIIDs中找到相关信息。</v>
      </c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40"/>
    </row>
    <row r="80" spans="1:19" x14ac:dyDescent="0.2">
      <c r="C80" s="22"/>
      <c r="D80" s="24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20"/>
      <c r="S80" s="23"/>
    </row>
    <row r="81" spans="1:19" x14ac:dyDescent="0.2">
      <c r="C81" s="22"/>
      <c r="D81" s="24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20"/>
      <c r="S81" s="23"/>
    </row>
    <row r="82" spans="1:19" x14ac:dyDescent="0.2">
      <c r="C82" s="22"/>
      <c r="D82" s="24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20"/>
      <c r="S82" s="23"/>
    </row>
    <row r="83" spans="1:19" x14ac:dyDescent="0.2">
      <c r="C83" s="22"/>
      <c r="D83" s="24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20"/>
      <c r="S83" s="23"/>
    </row>
    <row r="84" spans="1:19" x14ac:dyDescent="0.2">
      <c r="C84" s="22"/>
      <c r="D84" s="24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20"/>
      <c r="S84" s="23"/>
    </row>
    <row r="85" spans="1:19" x14ac:dyDescent="0.2">
      <c r="C85" s="22"/>
      <c r="D85" s="24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20"/>
      <c r="S85" s="23"/>
    </row>
    <row r="86" spans="1:19" s="4" customFormat="1" x14ac:dyDescent="0.2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9" s="28" customFormat="1" hidden="1" x14ac:dyDescent="0.2">
      <c r="A87" s="26"/>
      <c r="B87" s="26"/>
      <c r="C87" s="26"/>
      <c r="D87" s="26"/>
      <c r="E87" s="26"/>
      <c r="F87" s="27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9" s="30" customFormat="1" ht="5.25" hidden="1" customHeight="1" x14ac:dyDescent="0.2">
      <c r="A88" s="5"/>
      <c r="B88" s="5"/>
      <c r="C88" s="5"/>
      <c r="D88" s="5"/>
      <c r="E88" s="5"/>
      <c r="F88" s="29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9" s="30" customFormat="1" hidden="1" x14ac:dyDescent="0.2">
      <c r="A89" s="5"/>
      <c r="B89" s="5"/>
      <c r="C89" s="57" t="s">
        <v>21</v>
      </c>
      <c r="D89" s="5"/>
      <c r="E89" s="5"/>
      <c r="F89" s="29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9" s="30" customFormat="1" hidden="1" x14ac:dyDescent="0.2">
      <c r="A90" s="5"/>
      <c r="B90" s="5"/>
      <c r="C90" s="43" t="s">
        <v>22</v>
      </c>
      <c r="D90" s="5" t="b">
        <v>0</v>
      </c>
      <c r="F90" s="29"/>
    </row>
    <row r="91" spans="1:19" s="30" customFormat="1" hidden="1" x14ac:dyDescent="0.2">
      <c r="A91" s="5"/>
      <c r="B91" s="5"/>
      <c r="C91" s="43" t="s">
        <v>23</v>
      </c>
      <c r="D91" s="5" t="b">
        <v>1</v>
      </c>
      <c r="F91" s="29"/>
      <c r="R91" s="33"/>
    </row>
    <row r="92" spans="1:19" s="30" customFormat="1" hidden="1" x14ac:dyDescent="0.2">
      <c r="A92" s="5"/>
      <c r="B92" s="5"/>
      <c r="C92" s="43"/>
      <c r="D92" s="5"/>
      <c r="G92" s="5"/>
      <c r="H92" s="5"/>
      <c r="I92" s="5"/>
      <c r="J92" s="5"/>
      <c r="K92" s="5"/>
      <c r="L92" s="5"/>
      <c r="M92" s="5"/>
      <c r="N92" s="5"/>
      <c r="O92" s="5"/>
      <c r="P92" s="5"/>
      <c r="R92" s="33"/>
    </row>
    <row r="93" spans="1:19" s="30" customFormat="1" hidden="1" x14ac:dyDescent="0.2">
      <c r="A93" s="5"/>
      <c r="B93" s="5"/>
      <c r="C93" s="57" t="s">
        <v>13</v>
      </c>
      <c r="D93" s="5"/>
      <c r="G93" s="5"/>
      <c r="H93" s="5"/>
      <c r="I93" s="5"/>
      <c r="J93" s="5"/>
      <c r="K93" s="5"/>
      <c r="L93" s="5"/>
      <c r="M93" s="5"/>
      <c r="N93" s="5"/>
      <c r="O93" s="5"/>
      <c r="P93" s="5"/>
      <c r="R93" s="33"/>
    </row>
    <row r="94" spans="1:19" s="30" customFormat="1" hidden="1" x14ac:dyDescent="0.2">
      <c r="A94" s="5"/>
      <c r="B94" s="5"/>
      <c r="C94" s="43" t="s">
        <v>14</v>
      </c>
      <c r="D94" s="5" t="b">
        <v>1</v>
      </c>
      <c r="F94" s="32"/>
      <c r="G94" s="5"/>
      <c r="H94" s="5"/>
      <c r="I94" s="5"/>
      <c r="J94" s="5"/>
      <c r="K94" s="5"/>
      <c r="L94" s="5"/>
      <c r="M94" s="5"/>
      <c r="N94" s="5"/>
      <c r="O94" s="5"/>
      <c r="P94" s="5"/>
      <c r="R94" s="33"/>
    </row>
    <row r="95" spans="1:19" s="30" customFormat="1" hidden="1" x14ac:dyDescent="0.2">
      <c r="A95" s="5"/>
      <c r="B95" s="5"/>
      <c r="C95" s="43" t="s">
        <v>15</v>
      </c>
      <c r="D95" s="5" t="b">
        <v>0</v>
      </c>
      <c r="F95" s="32"/>
      <c r="G95" s="5"/>
      <c r="H95" s="5"/>
      <c r="I95" s="5"/>
      <c r="J95" s="5"/>
      <c r="K95" s="5"/>
      <c r="L95" s="5"/>
      <c r="M95" s="5"/>
      <c r="N95" s="5"/>
      <c r="O95" s="5"/>
      <c r="P95" s="5"/>
      <c r="R95" s="33"/>
    </row>
    <row r="96" spans="1:19" s="35" customFormat="1" hidden="1" x14ac:dyDescent="0.2">
      <c r="A96" s="34"/>
      <c r="B96" s="34"/>
      <c r="C96" s="43"/>
      <c r="F96" s="36"/>
      <c r="S96" s="30"/>
    </row>
    <row r="97" spans="1:16" s="35" customFormat="1" hidden="1" x14ac:dyDescent="0.2">
      <c r="A97" s="34"/>
      <c r="B97" s="34"/>
      <c r="C97" s="46" t="s">
        <v>67</v>
      </c>
      <c r="D97" s="47">
        <v>0</v>
      </c>
      <c r="F97" s="37" t="s">
        <v>8</v>
      </c>
      <c r="H97" s="38" t="s">
        <v>16</v>
      </c>
      <c r="I97" s="38"/>
      <c r="J97" s="38"/>
      <c r="K97" s="38"/>
      <c r="L97" s="38"/>
      <c r="M97" s="38"/>
      <c r="N97" s="38"/>
      <c r="O97" s="38"/>
      <c r="P97" s="38"/>
    </row>
    <row r="98" spans="1:16" s="30" customFormat="1" hidden="1" x14ac:dyDescent="0.2">
      <c r="A98" s="5"/>
      <c r="B98" s="5"/>
      <c r="C98" s="46" t="s">
        <v>68</v>
      </c>
      <c r="D98" s="47">
        <v>100</v>
      </c>
      <c r="E98" s="43" t="s">
        <v>12</v>
      </c>
      <c r="F98" s="39">
        <f>ROUNDDOWN(25%*RAB/(1+Levier),2)</f>
        <v>0</v>
      </c>
      <c r="H98" s="82" t="str">
        <f>IF(OR(RAB="",Apport=0),"",IF(Apport&lt;=PlafondApport,"OUI","NON"))</f>
        <v/>
      </c>
      <c r="I98" s="38"/>
      <c r="J98" s="38"/>
      <c r="K98" s="38"/>
      <c r="L98" s="38"/>
      <c r="M98" s="38"/>
      <c r="N98" s="38"/>
      <c r="O98" s="38"/>
      <c r="P98" s="38"/>
    </row>
    <row r="99" spans="1:16" s="40" customFormat="1" hidden="1" x14ac:dyDescent="0.2">
      <c r="A99" s="31"/>
      <c r="B99" s="31"/>
      <c r="D99" s="31"/>
      <c r="E99" s="56" t="s">
        <v>11</v>
      </c>
      <c r="F99" s="41">
        <f>ROUNDDOWN(2.5%*RAB/(1+Levier),2)</f>
        <v>0</v>
      </c>
      <c r="H99" s="83" t="str">
        <f>IF(OR(RAB="",Apport=0),"",IF(D94=TRUE,"OUI",IF(Apport&lt;=F99,"OUI","NON")))</f>
        <v/>
      </c>
      <c r="I99" s="42"/>
      <c r="J99" s="42"/>
      <c r="K99" s="42"/>
      <c r="L99" s="42"/>
      <c r="M99" s="42"/>
      <c r="N99" s="42"/>
      <c r="O99" s="42"/>
      <c r="P99" s="42"/>
    </row>
  </sheetData>
  <sheetProtection algorithmName="SHA-512" hashValue="MrH0mb6X7BjhflIgiH05c1DutqaFXj6ysqQwzLlLgJC9lk3goBKXWNlyzEeCgtgHhr9vBV0d4V5Ovh5iHbywHg==" saltValue="+ltPFn6g5QKuAmg0MHIUAw==" spinCount="100000" sheet="1" objects="1" scenarios="1" formatRows="0" selectLockedCells="1"/>
  <mergeCells count="19">
    <mergeCell ref="A13:B14"/>
    <mergeCell ref="C18:P18"/>
    <mergeCell ref="B75:P75"/>
    <mergeCell ref="E79:P79"/>
    <mergeCell ref="C24:F26"/>
    <mergeCell ref="K24:N26"/>
    <mergeCell ref="C45:F45"/>
    <mergeCell ref="C51:F53"/>
    <mergeCell ref="C58:F58"/>
    <mergeCell ref="H24:H26"/>
    <mergeCell ref="P24:P26"/>
    <mergeCell ref="K45:N45"/>
    <mergeCell ref="C69:F69"/>
    <mergeCell ref="C61:F61"/>
    <mergeCell ref="C9:M9"/>
    <mergeCell ref="C38:H40"/>
    <mergeCell ref="C66:E67"/>
    <mergeCell ref="C11:N11"/>
    <mergeCell ref="C47:F47"/>
  </mergeCells>
  <conditionalFormatting sqref="H98">
    <cfRule type="expression" dxfId="36" priority="88">
      <formula>IF(H98="OUI",TRUE,FALSE)</formula>
    </cfRule>
  </conditionalFormatting>
  <conditionalFormatting sqref="H99:P99">
    <cfRule type="expression" dxfId="35" priority="52">
      <formula>IF(H99="OUI",TRUE,FALSE)</formula>
    </cfRule>
    <cfRule type="expression" dxfId="34" priority="53">
      <formula>IF(H99="",TRUE,FALSE)</formula>
    </cfRule>
  </conditionalFormatting>
  <conditionalFormatting sqref="L28:P28">
    <cfRule type="dataBar" priority="43">
      <dataBar>
        <cfvo type="num" val="0"/>
        <cfvo type="num" val="1"/>
        <color theme="0" tint="-4.9989318521683403E-2"/>
      </dataBar>
      <extLst>
        <ext xmlns:x14="http://schemas.microsoft.com/office/spreadsheetml/2009/9/main" uri="{B025F937-C7B1-47D3-B67F-A62EFF666E3E}">
          <x14:id>{419E96F9-C959-4A75-879A-E15FE411B3E9}</x14:id>
        </ext>
      </extLst>
    </cfRule>
  </conditionalFormatting>
  <conditionalFormatting sqref="H28">
    <cfRule type="dataBar" priority="23">
      <dataBar>
        <cfvo type="num" val="0"/>
        <cfvo type="num" val="1"/>
        <color theme="2" tint="0.79998168889431442"/>
      </dataBar>
      <extLst>
        <ext xmlns:x14="http://schemas.microsoft.com/office/spreadsheetml/2009/9/main" uri="{B025F937-C7B1-47D3-B67F-A62EFF666E3E}">
          <x14:id>{DD2A959E-99BC-4465-A3A6-E8E08DD410E9}</x14:id>
        </ext>
      </extLst>
    </cfRule>
  </conditionalFormatting>
  <conditionalFormatting sqref="P34">
    <cfRule type="dataBar" priority="20">
      <dataBar>
        <cfvo type="num" val="0"/>
        <cfvo type="num" val="1"/>
        <color theme="2" tint="0.79998168889431442"/>
      </dataBar>
      <extLst>
        <ext xmlns:x14="http://schemas.microsoft.com/office/spreadsheetml/2009/9/main" uri="{B025F937-C7B1-47D3-B67F-A62EFF666E3E}">
          <x14:id>{A469DFEF-7043-4B47-801D-4E755AA7C631}</x14:id>
        </ext>
      </extLst>
    </cfRule>
  </conditionalFormatting>
  <conditionalFormatting sqref="H69">
    <cfRule type="expression" dxfId="33" priority="10">
      <formula>IF(H69="",TRUE,FALSE)</formula>
    </cfRule>
  </conditionalFormatting>
  <conditionalFormatting sqref="C18">
    <cfRule type="expression" dxfId="32" priority="4">
      <formula>IF(OR(PlafondApport&lt;APmin_devise,AND(Apport&lt;&gt;"",RAB=""),Apport&gt;PlafondApport),TRUE,FALSE)</formula>
    </cfRule>
  </conditionalFormatting>
  <conditionalFormatting sqref="B18">
    <cfRule type="iconSet" priority="2">
      <iconSet iconSet="3Symbols" showValue="0">
        <cfvo type="percent" val="0"/>
        <cfvo type="num" val="0"/>
        <cfvo type="num" val="100"/>
      </iconSet>
    </cfRule>
  </conditionalFormatting>
  <conditionalFormatting sqref="H24:H26">
    <cfRule type="expression" dxfId="31" priority="1">
      <formula>IF(Apport&gt;0,TRUE,FALSE)</formula>
    </cfRule>
  </conditionalFormatting>
  <dataValidations disablePrompts="1" count="3">
    <dataValidation type="decimal" operator="greaterThan" allowBlank="1" showInputMessage="1" showErrorMessage="1" error="Erreur de saisie. Veuillez recommencer." sqref="Q11:Q12 O11:P11" xr:uid="{52C50AC5-2A27-4A9F-A666-237766561FC3}">
      <formula1>0</formula1>
    </dataValidation>
    <dataValidation type="decimal" operator="greaterThan" allowBlank="1" showInputMessage="1" showErrorMessage="1" sqref="H67" xr:uid="{1D56F645-BCC0-4071-8398-45688E09EDAC}">
      <formula1>0</formula1>
    </dataValidation>
    <dataValidation type="decimal" operator="greaterThan" showInputMessage="1" showErrorMessage="1" sqref="H30" xr:uid="{E0CDF545-3F65-400E-9EE8-2A5CBBF804FA}">
      <formula1>0</formula1>
    </dataValidation>
  </dataValidations>
  <pageMargins left="0.7" right="0.7" top="0.75" bottom="0.75" header="0.3" footer="0.3"/>
  <pageSetup paperSize="9" orientation="portrait" r:id="rId1"/>
  <headerFooter>
    <oddFooter>&amp;L&amp;1#&amp;"Calibri"&amp;1&amp;KFFFFFFC1 - Public Natixis</oddFooter>
  </headerFooter>
  <ignoredErrors>
    <ignoredError sqref="H99" unlockedFormula="1"/>
    <ignoredError sqref="P16" evalError="1"/>
    <ignoredError sqref="I41 I54" numberStoredAsText="1"/>
  </ignoredErrors>
  <drawing r:id="rId2"/>
  <legacyDrawing r:id="rId3"/>
  <controls>
    <mc:AlternateContent xmlns:mc="http://schemas.openxmlformats.org/markup-compatibility/2006">
      <mc:Choice Requires="x14">
        <control shapeId="3181" r:id="rId4" name="OptionButton2">
          <controlPr defaultSize="0" autoLine="0" linkedCell="D95" r:id="rId5">
            <anchor moveWithCells="1">
              <from>
                <xdr:col>2</xdr:col>
                <xdr:colOff>19050</xdr:colOff>
                <xdr:row>13</xdr:row>
                <xdr:rowOff>19050</xdr:rowOff>
              </from>
              <to>
                <xdr:col>2</xdr:col>
                <xdr:colOff>152400</xdr:colOff>
                <xdr:row>14</xdr:row>
                <xdr:rowOff>9525</xdr:rowOff>
              </to>
            </anchor>
          </controlPr>
        </control>
      </mc:Choice>
      <mc:Fallback>
        <control shapeId="3181" r:id="rId4" name="OptionButton2"/>
      </mc:Fallback>
    </mc:AlternateContent>
    <mc:AlternateContent xmlns:mc="http://schemas.openxmlformats.org/markup-compatibility/2006">
      <mc:Choice Requires="x14">
        <control shapeId="3180" r:id="rId6" name="OptionButton1">
          <controlPr defaultSize="0" autoLine="0" linkedCell="D94" r:id="rId7">
            <anchor moveWithCells="1">
              <from>
                <xdr:col>2</xdr:col>
                <xdr:colOff>19050</xdr:colOff>
                <xdr:row>12</xdr:row>
                <xdr:rowOff>19050</xdr:rowOff>
              </from>
              <to>
                <xdr:col>2</xdr:col>
                <xdr:colOff>152400</xdr:colOff>
                <xdr:row>13</xdr:row>
                <xdr:rowOff>9525</xdr:rowOff>
              </to>
            </anchor>
          </controlPr>
        </control>
      </mc:Choice>
      <mc:Fallback>
        <control shapeId="3180" r:id="rId6" name="OptionButton1"/>
      </mc:Fallback>
    </mc:AlternateContent>
    <mc:AlternateContent xmlns:mc="http://schemas.openxmlformats.org/markup-compatibility/2006">
      <mc:Choice Requires="x14">
        <control shapeId="3178" r:id="rId8" name="ScrollBar1">
          <controlPr defaultSize="0" autoLine="0" autoPict="0" linkedCell="D98" r:id="rId9">
            <anchor moveWithCells="1">
              <from>
                <xdr:col>2</xdr:col>
                <xdr:colOff>247650</xdr:colOff>
                <xdr:row>40</xdr:row>
                <xdr:rowOff>28575</xdr:rowOff>
              </from>
              <to>
                <xdr:col>5</xdr:col>
                <xdr:colOff>771525</xdr:colOff>
                <xdr:row>41</xdr:row>
                <xdr:rowOff>9525</xdr:rowOff>
              </to>
            </anchor>
          </controlPr>
        </control>
      </mc:Choice>
      <mc:Fallback>
        <control shapeId="3178" r:id="rId8" name="ScrollBar1"/>
      </mc:Fallback>
    </mc:AlternateContent>
    <mc:AlternateContent xmlns:mc="http://schemas.openxmlformats.org/markup-compatibility/2006">
      <mc:Choice Requires="x14">
        <control shapeId="3177" r:id="rId10" name="ScrollBar2">
          <controlPr defaultSize="0" autoLine="0" autoPict="0" linkedCell="D97" r:id="rId11">
            <anchor moveWithCells="1">
              <from>
                <xdr:col>2</xdr:col>
                <xdr:colOff>276225</xdr:colOff>
                <xdr:row>53</xdr:row>
                <xdr:rowOff>9525</xdr:rowOff>
              </from>
              <to>
                <xdr:col>5</xdr:col>
                <xdr:colOff>809625</xdr:colOff>
                <xdr:row>54</xdr:row>
                <xdr:rowOff>19050</xdr:rowOff>
              </to>
            </anchor>
          </controlPr>
        </control>
      </mc:Choice>
      <mc:Fallback>
        <control shapeId="3177" r:id="rId10" name="ScrollBar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9E96F9-C959-4A75-879A-E15FE411B3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L28:P28</xm:sqref>
        </x14:conditionalFormatting>
        <x14:conditionalFormatting xmlns:xm="http://schemas.microsoft.com/office/excel/2006/main">
          <x14:cfRule type="dataBar" id="{DD2A959E-99BC-4465-A3A6-E8E08DD410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A469DFEF-7043-4B47-801D-4E755AA7C63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="您輸入的個人供款金額不符合投資限額。  ." xr:uid="{6F0CEC84-F6FA-48B1-A50E-1D2D65286AD3}">
          <x14:formula1>
            <xm:f>Data!C17</xm:f>
          </x14:formula1>
          <x14:formula2>
            <xm:f>P16</xm:f>
          </x14:formula2>
          <xm:sqref>H24:H26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B1:I60"/>
  <sheetViews>
    <sheetView zoomScale="115" zoomScaleNormal="115" workbookViewId="0">
      <selection activeCell="I21" sqref="I21"/>
    </sheetView>
  </sheetViews>
  <sheetFormatPr baseColWidth="10" defaultColWidth="12" defaultRowHeight="11.25" x14ac:dyDescent="0.2"/>
  <cols>
    <col min="1" max="1" width="4.83203125" style="1" customWidth="1"/>
    <col min="2" max="2" width="26.83203125" style="1" customWidth="1"/>
    <col min="3" max="3" width="17.33203125" style="1" customWidth="1"/>
    <col min="4" max="4" width="12" style="1"/>
    <col min="5" max="5" width="14.6640625" style="1" customWidth="1"/>
    <col min="6" max="6" width="16.5" style="1" bestFit="1" customWidth="1"/>
    <col min="7" max="7" width="15.6640625" style="1" customWidth="1"/>
    <col min="8" max="8" width="28" style="1" bestFit="1" customWidth="1"/>
    <col min="9" max="9" width="19.6640625" style="1" customWidth="1"/>
    <col min="10" max="10" width="16.6640625" style="1" bestFit="1" customWidth="1"/>
    <col min="11" max="12" width="17.5" style="1" bestFit="1" customWidth="1"/>
    <col min="13" max="16384" width="12" style="1"/>
  </cols>
  <sheetData>
    <row r="1" spans="2:4" x14ac:dyDescent="0.2">
      <c r="C1" s="60"/>
    </row>
    <row r="2" spans="2:4" x14ac:dyDescent="0.2">
      <c r="B2" s="63" t="s">
        <v>127</v>
      </c>
      <c r="C2" s="103" t="s">
        <v>90</v>
      </c>
    </row>
    <row r="3" spans="2:4" x14ac:dyDescent="0.2">
      <c r="B3" s="63" t="s">
        <v>73</v>
      </c>
      <c r="C3" s="100" t="str">
        <f>INDEX(C36:C60,MATCH(C2,B36:B60,0),1)</f>
        <v>CNY</v>
      </c>
    </row>
    <row r="4" spans="2:4" x14ac:dyDescent="0.2">
      <c r="B4" s="63" t="s">
        <v>70</v>
      </c>
      <c r="C4" s="100"/>
    </row>
    <row r="5" spans="2:4" x14ac:dyDescent="0.2">
      <c r="B5" s="63" t="str">
        <f>IF(C3&lt;&gt;"EUR","Sens change","")</f>
        <v>Sens change</v>
      </c>
      <c r="C5" s="101" t="str">
        <f>INDEX(F36:F60,MATCH(C2,B36:B60,0),1)</f>
        <v>Ccy/EUR</v>
      </c>
    </row>
    <row r="6" spans="2:4" x14ac:dyDescent="0.2">
      <c r="B6" s="63" t="str">
        <f>IF(C3&lt;&gt;"EUR","Change initial indicatif : 1 "&amp;IF(C5="Ccy/EUR",C3,"EUR")&amp;" =","Change :")</f>
        <v>Change initial indicatif : 1 CNY =</v>
      </c>
      <c r="C6" s="101">
        <f>IF(Currency_code="EUR",1,IF(C5="Ccy/EUR",ROUND(1/INDEX(E36:E60,MATCH(C2,B36:B60,0),1),2),ROUND(INDEX(E36:E60,MATCH(C2,B36:B60,0),1),0)))</f>
        <v>0.14000000000000001</v>
      </c>
    </row>
    <row r="7" spans="2:4" x14ac:dyDescent="0.2">
      <c r="B7" s="63" t="s">
        <v>130</v>
      </c>
      <c r="C7" s="101" t="str">
        <f>INDEX(G36:G60,MATCH(C2,B36:B60,0),1)</f>
        <v>normal</v>
      </c>
    </row>
    <row r="9" spans="2:4" x14ac:dyDescent="0.2">
      <c r="B9" s="62" t="s">
        <v>24</v>
      </c>
      <c r="C9" s="6">
        <v>0.2</v>
      </c>
    </row>
    <row r="10" spans="2:4" x14ac:dyDescent="0.2">
      <c r="B10" s="63" t="s">
        <v>0</v>
      </c>
      <c r="C10" s="7">
        <v>5</v>
      </c>
      <c r="D10" s="58" t="s">
        <v>19</v>
      </c>
    </row>
    <row r="11" spans="2:4" x14ac:dyDescent="0.2">
      <c r="B11" s="62" t="s">
        <v>6</v>
      </c>
      <c r="C11" s="102">
        <f>INDEX(I36:I60,MATCH(C2,B36:B57,0),1)</f>
        <v>3.5</v>
      </c>
    </row>
    <row r="12" spans="2:4" x14ac:dyDescent="0.2">
      <c r="B12" s="63" t="s">
        <v>7</v>
      </c>
      <c r="C12" s="8">
        <v>44768</v>
      </c>
    </row>
    <row r="13" spans="2:4" x14ac:dyDescent="0.2">
      <c r="B13" s="63" t="s">
        <v>9</v>
      </c>
      <c r="C13" s="8">
        <v>46594</v>
      </c>
    </row>
    <row r="14" spans="2:4" x14ac:dyDescent="0.2">
      <c r="B14" s="63" t="s">
        <v>20</v>
      </c>
      <c r="C14" s="9">
        <f>(C13-C12)/365</f>
        <v>5.0027397260273974</v>
      </c>
    </row>
    <row r="16" spans="2:4" x14ac:dyDescent="0.2">
      <c r="B16" s="63" t="s">
        <v>71</v>
      </c>
      <c r="C16" s="10">
        <v>10</v>
      </c>
    </row>
    <row r="17" spans="2:6" x14ac:dyDescent="0.2">
      <c r="B17" s="63" t="s">
        <v>72</v>
      </c>
      <c r="C17" s="251">
        <f>IF(Currency_code="EUR",APmin,IF(Hyp_initialFX="",ROUNDUP(APmin*IF(Currency_par="Ccy/EUR",1/Currency_initialFX,Currency_initialFX),2),ROUNDUP(APmin*IF(Currency_par="Ccy/EUR",1/Hyp_initialFX,Hyp_initialFX),2)))</f>
        <v>71.430000000000007</v>
      </c>
    </row>
    <row r="20" spans="2:6" x14ac:dyDescent="0.2">
      <c r="B20" s="61" t="s">
        <v>17</v>
      </c>
    </row>
    <row r="21" spans="2:6" x14ac:dyDescent="0.2">
      <c r="B21" s="64" t="s">
        <v>18</v>
      </c>
      <c r="C21" s="64" t="s">
        <v>3</v>
      </c>
      <c r="D21" s="64" t="s">
        <v>4</v>
      </c>
      <c r="E21" s="65" t="s">
        <v>10</v>
      </c>
      <c r="F21" s="64" t="s">
        <v>5</v>
      </c>
    </row>
    <row r="22" spans="2:6" x14ac:dyDescent="0.2">
      <c r="B22" s="66" t="s">
        <v>1</v>
      </c>
      <c r="C22" s="11">
        <v>0</v>
      </c>
      <c r="D22" s="11">
        <v>250</v>
      </c>
      <c r="E22" s="12">
        <v>0.6</v>
      </c>
      <c r="F22" s="13">
        <f>(D22-C22)*E22</f>
        <v>150</v>
      </c>
    </row>
    <row r="23" spans="2:6" x14ac:dyDescent="0.2">
      <c r="B23" s="66" t="s">
        <v>2</v>
      </c>
      <c r="C23" s="13">
        <f>D22</f>
        <v>250</v>
      </c>
      <c r="D23" s="11">
        <v>4000</v>
      </c>
      <c r="E23" s="12">
        <v>0</v>
      </c>
      <c r="F23" s="13">
        <f>(D23-C23)*E23</f>
        <v>0</v>
      </c>
    </row>
    <row r="24" spans="2:6" x14ac:dyDescent="0.2">
      <c r="C24" s="59"/>
      <c r="D24" s="59"/>
      <c r="E24" s="59"/>
      <c r="F24" s="14">
        <f>F22+F23</f>
        <v>150</v>
      </c>
    </row>
    <row r="26" spans="2:6" x14ac:dyDescent="0.2">
      <c r="B26" s="61" t="s">
        <v>133</v>
      </c>
    </row>
    <row r="27" spans="2:6" x14ac:dyDescent="0.2">
      <c r="B27" s="113" t="s">
        <v>75</v>
      </c>
      <c r="C27" s="104" t="s">
        <v>6</v>
      </c>
    </row>
    <row r="28" spans="2:6" x14ac:dyDescent="0.2">
      <c r="B28" s="114" t="s">
        <v>84</v>
      </c>
      <c r="C28" s="115">
        <v>5.7</v>
      </c>
    </row>
    <row r="29" spans="2:6" x14ac:dyDescent="0.2">
      <c r="B29" s="116" t="s">
        <v>82</v>
      </c>
      <c r="C29" s="115">
        <v>5.0999999999999996</v>
      </c>
    </row>
    <row r="30" spans="2:6" x14ac:dyDescent="0.2">
      <c r="B30" s="116" t="s">
        <v>96</v>
      </c>
      <c r="C30" s="115">
        <v>8.5</v>
      </c>
    </row>
    <row r="31" spans="2:6" x14ac:dyDescent="0.2">
      <c r="B31" s="116" t="s">
        <v>79</v>
      </c>
      <c r="C31" s="115">
        <v>3.5</v>
      </c>
    </row>
    <row r="32" spans="2:6" x14ac:dyDescent="0.2">
      <c r="B32" s="117" t="s">
        <v>91</v>
      </c>
      <c r="C32" s="118">
        <v>3.5</v>
      </c>
    </row>
    <row r="35" spans="2:9" s="108" customFormat="1" ht="22.5" x14ac:dyDescent="0.2">
      <c r="B35" s="106" t="s">
        <v>74</v>
      </c>
      <c r="C35" s="107" t="s">
        <v>126</v>
      </c>
      <c r="D35" s="107" t="s">
        <v>125</v>
      </c>
      <c r="E35" s="104" t="s">
        <v>128</v>
      </c>
      <c r="F35" s="107" t="s">
        <v>129</v>
      </c>
      <c r="G35" s="104" t="s">
        <v>130</v>
      </c>
      <c r="H35" s="104" t="s">
        <v>76</v>
      </c>
      <c r="I35" s="104" t="s">
        <v>6</v>
      </c>
    </row>
    <row r="36" spans="2:9" s="111" customFormat="1" x14ac:dyDescent="0.2">
      <c r="B36" s="109" t="s">
        <v>77</v>
      </c>
      <c r="C36" s="110" t="s">
        <v>80</v>
      </c>
      <c r="E36" s="212">
        <v>1.4668699999999999</v>
      </c>
      <c r="F36" s="213" t="str">
        <f t="shared" ref="F36:F60" si="0">IF(C36="EUR","",IF(E36&gt;20,"EUR/Ccy","Ccy/EUR"))</f>
        <v>Ccy/EUR</v>
      </c>
      <c r="G36" s="213" t="s">
        <v>131</v>
      </c>
      <c r="H36" s="259" t="s">
        <v>79</v>
      </c>
      <c r="I36" s="110">
        <f>VLOOKUP(H36,$B$28:$C$32,2,FALSE)</f>
        <v>3.5</v>
      </c>
    </row>
    <row r="37" spans="2:9" s="111" customFormat="1" x14ac:dyDescent="0.2">
      <c r="B37" s="109" t="s">
        <v>81</v>
      </c>
      <c r="C37" s="110" t="s">
        <v>32</v>
      </c>
      <c r="E37" s="214" t="s">
        <v>143</v>
      </c>
      <c r="F37" s="213" t="str">
        <f t="shared" si="0"/>
        <v/>
      </c>
      <c r="G37" s="213" t="s">
        <v>131</v>
      </c>
      <c r="H37" s="259" t="s">
        <v>82</v>
      </c>
      <c r="I37" s="110">
        <f t="shared" ref="I37:I60" si="1">VLOOKUP(H37,$B$28:$C$32,2,FALSE)</f>
        <v>5.0999999999999996</v>
      </c>
    </row>
    <row r="38" spans="2:9" s="111" customFormat="1" x14ac:dyDescent="0.2">
      <c r="B38" s="109" t="s">
        <v>83</v>
      </c>
      <c r="C38" s="110" t="s">
        <v>85</v>
      </c>
      <c r="E38" s="212">
        <v>5.0174000000000003</v>
      </c>
      <c r="F38" s="213" t="str">
        <f t="shared" si="0"/>
        <v>Ccy/EUR</v>
      </c>
      <c r="G38" s="213" t="s">
        <v>131</v>
      </c>
      <c r="H38" s="112" t="s">
        <v>84</v>
      </c>
      <c r="I38" s="110">
        <f t="shared" si="1"/>
        <v>5.7</v>
      </c>
    </row>
    <row r="39" spans="2:9" s="111" customFormat="1" x14ac:dyDescent="0.2">
      <c r="B39" s="109" t="s">
        <v>86</v>
      </c>
      <c r="C39" s="110" t="s">
        <v>87</v>
      </c>
      <c r="E39" s="212">
        <v>1.3623400000000001</v>
      </c>
      <c r="F39" s="213" t="str">
        <f t="shared" si="0"/>
        <v>Ccy/EUR</v>
      </c>
      <c r="G39" s="213" t="s">
        <v>131</v>
      </c>
      <c r="H39" s="259" t="s">
        <v>82</v>
      </c>
      <c r="I39" s="110">
        <f t="shared" si="1"/>
        <v>5.0999999999999996</v>
      </c>
    </row>
    <row r="40" spans="2:9" s="111" customFormat="1" x14ac:dyDescent="0.2">
      <c r="B40" s="109" t="s">
        <v>88</v>
      </c>
      <c r="C40" s="110" t="s">
        <v>89</v>
      </c>
      <c r="E40" s="212">
        <v>883.76</v>
      </c>
      <c r="F40" s="213" t="str">
        <f t="shared" si="0"/>
        <v>EUR/Ccy</v>
      </c>
      <c r="G40" s="213" t="s">
        <v>131</v>
      </c>
      <c r="H40" s="259" t="s">
        <v>79</v>
      </c>
      <c r="I40" s="110">
        <f t="shared" si="1"/>
        <v>3.5</v>
      </c>
    </row>
    <row r="41" spans="2:9" s="111" customFormat="1" x14ac:dyDescent="0.2">
      <c r="B41" s="109" t="s">
        <v>90</v>
      </c>
      <c r="C41" s="110" t="s">
        <v>92</v>
      </c>
      <c r="E41" s="212">
        <v>7.0378999999999996</v>
      </c>
      <c r="F41" s="213" t="str">
        <f t="shared" si="0"/>
        <v>Ccy/EUR</v>
      </c>
      <c r="G41" s="213" t="s">
        <v>131</v>
      </c>
      <c r="H41" s="259" t="s">
        <v>91</v>
      </c>
      <c r="I41" s="110">
        <f t="shared" si="1"/>
        <v>3.5</v>
      </c>
    </row>
    <row r="42" spans="2:9" s="111" customFormat="1" x14ac:dyDescent="0.2">
      <c r="B42" s="109" t="s">
        <v>93</v>
      </c>
      <c r="C42" s="110" t="s">
        <v>94</v>
      </c>
      <c r="E42" s="212">
        <v>4079.08</v>
      </c>
      <c r="F42" s="213" t="str">
        <f t="shared" si="0"/>
        <v>EUR/Ccy</v>
      </c>
      <c r="G42" s="215" t="s">
        <v>132</v>
      </c>
      <c r="H42" s="259" t="s">
        <v>84</v>
      </c>
      <c r="I42" s="110">
        <f t="shared" si="1"/>
        <v>5.7</v>
      </c>
    </row>
    <row r="43" spans="2:9" s="111" customFormat="1" x14ac:dyDescent="0.2">
      <c r="B43" s="109" t="s">
        <v>95</v>
      </c>
      <c r="C43" s="110" t="s">
        <v>32</v>
      </c>
      <c r="E43" s="214" t="s">
        <v>143</v>
      </c>
      <c r="F43" s="213" t="str">
        <f t="shared" si="0"/>
        <v/>
      </c>
      <c r="G43" s="213" t="s">
        <v>131</v>
      </c>
      <c r="H43" s="259" t="s">
        <v>96</v>
      </c>
      <c r="I43" s="110">
        <f t="shared" si="1"/>
        <v>8.5</v>
      </c>
    </row>
    <row r="44" spans="2:9" s="111" customFormat="1" x14ac:dyDescent="0.2">
      <c r="B44" s="109" t="s">
        <v>97</v>
      </c>
      <c r="C44" s="110" t="s">
        <v>32</v>
      </c>
      <c r="E44" s="214" t="s">
        <v>143</v>
      </c>
      <c r="F44" s="213" t="str">
        <f t="shared" si="0"/>
        <v/>
      </c>
      <c r="G44" s="213" t="s">
        <v>131</v>
      </c>
      <c r="H44" s="105" t="s">
        <v>84</v>
      </c>
      <c r="I44" s="110">
        <f t="shared" si="1"/>
        <v>5.7</v>
      </c>
    </row>
    <row r="45" spans="2:9" s="111" customFormat="1" x14ac:dyDescent="0.2">
      <c r="B45" s="109" t="s">
        <v>98</v>
      </c>
      <c r="C45" s="110" t="s">
        <v>99</v>
      </c>
      <c r="E45" s="212">
        <v>8.2239000000000004</v>
      </c>
      <c r="F45" s="213" t="str">
        <f t="shared" si="0"/>
        <v>Ccy/EUR</v>
      </c>
      <c r="G45" s="213" t="s">
        <v>131</v>
      </c>
      <c r="H45" s="105" t="s">
        <v>84</v>
      </c>
      <c r="I45" s="110">
        <f t="shared" si="1"/>
        <v>5.7</v>
      </c>
    </row>
    <row r="46" spans="2:9" s="111" customFormat="1" x14ac:dyDescent="0.2">
      <c r="B46" s="109" t="s">
        <v>100</v>
      </c>
      <c r="C46" s="110" t="s">
        <v>32</v>
      </c>
      <c r="E46" s="214" t="s">
        <v>143</v>
      </c>
      <c r="F46" s="213" t="str">
        <f t="shared" si="0"/>
        <v/>
      </c>
      <c r="G46" s="213" t="s">
        <v>131</v>
      </c>
      <c r="H46" s="259" t="s">
        <v>79</v>
      </c>
      <c r="I46" s="110">
        <f t="shared" si="1"/>
        <v>3.5</v>
      </c>
    </row>
    <row r="47" spans="2:9" s="111" customFormat="1" x14ac:dyDescent="0.2">
      <c r="B47" s="109" t="s">
        <v>101</v>
      </c>
      <c r="C47" s="110" t="s">
        <v>32</v>
      </c>
      <c r="E47" s="214" t="s">
        <v>143</v>
      </c>
      <c r="F47" s="213" t="str">
        <f t="shared" si="0"/>
        <v/>
      </c>
      <c r="G47" s="213" t="s">
        <v>131</v>
      </c>
      <c r="H47" s="259" t="s">
        <v>79</v>
      </c>
      <c r="I47" s="110">
        <f t="shared" si="1"/>
        <v>3.5</v>
      </c>
    </row>
    <row r="48" spans="2:9" s="111" customFormat="1" x14ac:dyDescent="0.2">
      <c r="B48" s="109" t="s">
        <v>102</v>
      </c>
      <c r="C48" s="110" t="s">
        <v>103</v>
      </c>
      <c r="E48" s="212">
        <v>655.9511</v>
      </c>
      <c r="F48" s="213" t="str">
        <f t="shared" si="0"/>
        <v>EUR/Ccy</v>
      </c>
      <c r="G48" s="215" t="s">
        <v>132</v>
      </c>
      <c r="H48" s="105" t="s">
        <v>84</v>
      </c>
      <c r="I48" s="110">
        <f t="shared" si="1"/>
        <v>5.7</v>
      </c>
    </row>
    <row r="49" spans="2:9" s="111" customFormat="1" x14ac:dyDescent="0.2">
      <c r="B49" s="109" t="s">
        <v>104</v>
      </c>
      <c r="C49" s="110" t="s">
        <v>105</v>
      </c>
      <c r="E49" s="212">
        <v>139.69</v>
      </c>
      <c r="F49" s="213" t="str">
        <f t="shared" si="0"/>
        <v>EUR/Ccy</v>
      </c>
      <c r="G49" s="213" t="s">
        <v>131</v>
      </c>
      <c r="H49" s="259" t="s">
        <v>79</v>
      </c>
      <c r="I49" s="110">
        <f t="shared" si="1"/>
        <v>3.5</v>
      </c>
    </row>
    <row r="50" spans="2:9" s="111" customFormat="1" x14ac:dyDescent="0.2">
      <c r="B50" s="109" t="s">
        <v>106</v>
      </c>
      <c r="C50" s="110" t="s">
        <v>107</v>
      </c>
      <c r="E50" s="212">
        <v>1.0916999999999999</v>
      </c>
      <c r="F50" s="213" t="str">
        <f t="shared" si="0"/>
        <v>Ccy/EUR</v>
      </c>
      <c r="G50" s="213" t="s">
        <v>131</v>
      </c>
      <c r="H50" s="105" t="s">
        <v>84</v>
      </c>
      <c r="I50" s="110">
        <f t="shared" si="1"/>
        <v>5.7</v>
      </c>
    </row>
    <row r="51" spans="2:9" s="111" customFormat="1" x14ac:dyDescent="0.2">
      <c r="B51" s="109" t="s">
        <v>108</v>
      </c>
      <c r="C51" s="110" t="s">
        <v>109</v>
      </c>
      <c r="E51" s="212">
        <v>10.665100000000001</v>
      </c>
      <c r="F51" s="213" t="str">
        <f t="shared" si="0"/>
        <v>Ccy/EUR</v>
      </c>
      <c r="G51" s="213" t="s">
        <v>131</v>
      </c>
      <c r="H51" s="105" t="s">
        <v>84</v>
      </c>
      <c r="I51" s="110">
        <f t="shared" si="1"/>
        <v>5.7</v>
      </c>
    </row>
    <row r="52" spans="2:9" s="111" customFormat="1" x14ac:dyDescent="0.2">
      <c r="B52" s="109" t="s">
        <v>110</v>
      </c>
      <c r="C52" s="110" t="s">
        <v>69</v>
      </c>
      <c r="E52" s="212">
        <v>1.6074999999999999</v>
      </c>
      <c r="F52" s="213" t="str">
        <f t="shared" si="0"/>
        <v>Ccy/EUR</v>
      </c>
      <c r="G52" s="213" t="s">
        <v>131</v>
      </c>
      <c r="H52" s="105" t="s">
        <v>84</v>
      </c>
      <c r="I52" s="110">
        <f t="shared" si="1"/>
        <v>5.7</v>
      </c>
    </row>
    <row r="53" spans="2:9" s="111" customFormat="1" x14ac:dyDescent="0.2">
      <c r="B53" s="109" t="s">
        <v>111</v>
      </c>
      <c r="C53" s="110" t="s">
        <v>112</v>
      </c>
      <c r="E53" s="212">
        <v>9.5830000000000002</v>
      </c>
      <c r="F53" s="213" t="str">
        <f t="shared" si="0"/>
        <v>Ccy/EUR</v>
      </c>
      <c r="G53" s="213" t="s">
        <v>131</v>
      </c>
      <c r="H53" s="259" t="s">
        <v>82</v>
      </c>
      <c r="I53" s="110">
        <f t="shared" si="1"/>
        <v>5.0999999999999996</v>
      </c>
    </row>
    <row r="54" spans="2:9" s="111" customFormat="1" x14ac:dyDescent="0.2">
      <c r="B54" s="109" t="s">
        <v>113</v>
      </c>
      <c r="C54" s="110" t="s">
        <v>114</v>
      </c>
      <c r="E54" s="212">
        <v>4.0282999999999998</v>
      </c>
      <c r="F54" s="213" t="str">
        <f t="shared" si="0"/>
        <v>Ccy/EUR</v>
      </c>
      <c r="G54" s="213" t="s">
        <v>131</v>
      </c>
      <c r="H54" s="105" t="s">
        <v>84</v>
      </c>
      <c r="I54" s="110">
        <f t="shared" si="1"/>
        <v>5.7</v>
      </c>
    </row>
    <row r="55" spans="2:9" s="111" customFormat="1" x14ac:dyDescent="0.2">
      <c r="B55" s="109" t="s">
        <v>115</v>
      </c>
      <c r="C55" s="110" t="s">
        <v>116</v>
      </c>
      <c r="E55" s="212">
        <v>1341.96</v>
      </c>
      <c r="F55" s="213" t="str">
        <f t="shared" si="0"/>
        <v>EUR/Ccy</v>
      </c>
      <c r="G55" s="215" t="s">
        <v>132</v>
      </c>
      <c r="H55" s="259" t="s">
        <v>91</v>
      </c>
      <c r="I55" s="110">
        <f t="shared" si="1"/>
        <v>3.5</v>
      </c>
    </row>
    <row r="56" spans="2:9" s="111" customFormat="1" x14ac:dyDescent="0.2">
      <c r="B56" s="109" t="s">
        <v>117</v>
      </c>
      <c r="C56" s="110" t="s">
        <v>32</v>
      </c>
      <c r="E56" s="214" t="s">
        <v>143</v>
      </c>
      <c r="F56" s="213" t="str">
        <f t="shared" si="0"/>
        <v/>
      </c>
      <c r="G56" s="213" t="s">
        <v>131</v>
      </c>
      <c r="H56" s="105" t="s">
        <v>84</v>
      </c>
      <c r="I56" s="110">
        <f t="shared" si="1"/>
        <v>5.7</v>
      </c>
    </row>
    <row r="57" spans="2:9" s="111" customFormat="1" x14ac:dyDescent="0.2">
      <c r="B57" s="109" t="s">
        <v>118</v>
      </c>
      <c r="C57" s="110" t="s">
        <v>119</v>
      </c>
      <c r="E57" s="212">
        <v>10.261200000000001</v>
      </c>
      <c r="F57" s="213" t="str">
        <f t="shared" si="0"/>
        <v>Ccy/EUR</v>
      </c>
      <c r="G57" s="213" t="s">
        <v>131</v>
      </c>
      <c r="H57" s="259" t="s">
        <v>91</v>
      </c>
      <c r="I57" s="110">
        <f t="shared" si="1"/>
        <v>3.5</v>
      </c>
    </row>
    <row r="58" spans="2:9" s="111" customFormat="1" x14ac:dyDescent="0.2">
      <c r="B58" s="109" t="s">
        <v>120</v>
      </c>
      <c r="C58" s="110" t="s">
        <v>121</v>
      </c>
      <c r="E58" s="212">
        <v>1.0344599999999999</v>
      </c>
      <c r="F58" s="213" t="str">
        <f t="shared" si="0"/>
        <v>Ccy/EUR</v>
      </c>
      <c r="G58" s="213" t="s">
        <v>131</v>
      </c>
      <c r="H58" s="105" t="s">
        <v>84</v>
      </c>
      <c r="I58" s="110">
        <f t="shared" si="1"/>
        <v>5.7</v>
      </c>
    </row>
    <row r="59" spans="2:9" s="111" customFormat="1" x14ac:dyDescent="0.2">
      <c r="B59" s="109" t="s">
        <v>122</v>
      </c>
      <c r="C59" s="110" t="s">
        <v>123</v>
      </c>
      <c r="E59" s="212">
        <v>16.046399999999998</v>
      </c>
      <c r="F59" s="213" t="str">
        <f t="shared" si="0"/>
        <v>Ccy/EUR</v>
      </c>
      <c r="G59" s="213" t="s">
        <v>131</v>
      </c>
      <c r="H59" s="105" t="s">
        <v>84</v>
      </c>
      <c r="I59" s="110">
        <f t="shared" si="1"/>
        <v>5.7</v>
      </c>
    </row>
    <row r="60" spans="2:9" s="111" customFormat="1" x14ac:dyDescent="0.2">
      <c r="B60" s="109" t="s">
        <v>124</v>
      </c>
      <c r="C60" s="110" t="s">
        <v>107</v>
      </c>
      <c r="E60" s="212">
        <v>1.0916999999999999</v>
      </c>
      <c r="F60" s="213" t="str">
        <f t="shared" si="0"/>
        <v>Ccy/EUR</v>
      </c>
      <c r="G60" s="213" t="s">
        <v>131</v>
      </c>
      <c r="H60" s="259" t="s">
        <v>79</v>
      </c>
      <c r="I60" s="110">
        <f t="shared" si="1"/>
        <v>3.5</v>
      </c>
    </row>
  </sheetData>
  <conditionalFormatting sqref="B35">
    <cfRule type="cellIs" dxfId="30" priority="41" stopIfTrue="1" operator="equal">
      <formula>"N"</formula>
    </cfRule>
  </conditionalFormatting>
  <conditionalFormatting sqref="B28">
    <cfRule type="expression" dxfId="29" priority="26">
      <formula>IF(B28="FCPE Nexans Plus 2022 C",TRUE,FALSE)</formula>
    </cfRule>
    <cfRule type="expression" dxfId="28" priority="27">
      <formula>IF(B28="FCPE Nexans Plus 2022 B",TRUE,FALSE)</formula>
    </cfRule>
    <cfRule type="expression" dxfId="27" priority="28">
      <formula>IF(B28="FCPE Nexans Plus 2022 A",TRUE,FALSE)</formula>
    </cfRule>
    <cfRule type="expression" dxfId="26" priority="29">
      <formula>IF(B28="Direct+SAR",TRUE,FALSE)</formula>
    </cfRule>
    <cfRule type="expression" dxfId="25" priority="30">
      <formula>IF(B28="FCPE+SAR",TRUE,FALSE)</formula>
    </cfRule>
  </conditionalFormatting>
  <conditionalFormatting sqref="B29">
    <cfRule type="expression" dxfId="24" priority="21">
      <formula>IF(B29="FCPE Nexans Plus 2022 C",TRUE,FALSE)</formula>
    </cfRule>
    <cfRule type="expression" dxfId="23" priority="22">
      <formula>IF(B29="FCPE Nexans Plus 2022 B",TRUE,FALSE)</formula>
    </cfRule>
    <cfRule type="expression" dxfId="22" priority="23">
      <formula>IF(B29="FCPE Nexans Plus 2022 A",TRUE,FALSE)</formula>
    </cfRule>
    <cfRule type="expression" dxfId="21" priority="24">
      <formula>IF(B29="Direct+SAR",TRUE,FALSE)</formula>
    </cfRule>
    <cfRule type="expression" dxfId="20" priority="25">
      <formula>IF(B29="FCPE+SAR",TRUE,FALSE)</formula>
    </cfRule>
  </conditionalFormatting>
  <conditionalFormatting sqref="B30">
    <cfRule type="expression" dxfId="19" priority="16">
      <formula>IF(B30="FCPE Nexans Plus 2022 C",TRUE,FALSE)</formula>
    </cfRule>
    <cfRule type="expression" dxfId="18" priority="17">
      <formula>IF(B30="FCPE Nexans Plus 2022 B",TRUE,FALSE)</formula>
    </cfRule>
    <cfRule type="expression" dxfId="17" priority="18">
      <formula>IF(B30="FCPE Nexans Plus 2022 A",TRUE,FALSE)</formula>
    </cfRule>
    <cfRule type="expression" dxfId="16" priority="19">
      <formula>IF(B30="Direct+SAR",TRUE,FALSE)</formula>
    </cfRule>
    <cfRule type="expression" dxfId="15" priority="20">
      <formula>IF(B30="FCPE+SAR",TRUE,FALSE)</formula>
    </cfRule>
  </conditionalFormatting>
  <conditionalFormatting sqref="B31">
    <cfRule type="expression" dxfId="14" priority="11">
      <formula>IF(B31="FCPE Nexans Plus 2022 C",TRUE,FALSE)</formula>
    </cfRule>
    <cfRule type="expression" dxfId="13" priority="12">
      <formula>IF(B31="FCPE Nexans Plus 2022 B",TRUE,FALSE)</formula>
    </cfRule>
    <cfRule type="expression" dxfId="12" priority="13">
      <formula>IF(B31="FCPE Nexans Plus 2022 A",TRUE,FALSE)</formula>
    </cfRule>
    <cfRule type="expression" dxfId="11" priority="14">
      <formula>IF(B31="Direct+SAR",TRUE,FALSE)</formula>
    </cfRule>
    <cfRule type="expression" dxfId="10" priority="15">
      <formula>IF(B31="FCPE+SAR",TRUE,FALSE)</formula>
    </cfRule>
  </conditionalFormatting>
  <conditionalFormatting sqref="B32">
    <cfRule type="expression" dxfId="9" priority="6">
      <formula>IF(B32="FCPE Nexans Plus 2022 C",TRUE,FALSE)</formula>
    </cfRule>
    <cfRule type="expression" dxfId="8" priority="7">
      <formula>IF(B32="FCPE Nexans Plus 2022 B",TRUE,FALSE)</formula>
    </cfRule>
    <cfRule type="expression" dxfId="7" priority="8">
      <formula>IF(B32="FCPE Nexans Plus 2022 A",TRUE,FALSE)</formula>
    </cfRule>
    <cfRule type="expression" dxfId="6" priority="9">
      <formula>IF(B32="Direct+SAR",TRUE,FALSE)</formula>
    </cfRule>
    <cfRule type="expression" dxfId="5" priority="10">
      <formula>IF(B32="FCPE+SAR",TRUE,FALSE)</formula>
    </cfRule>
  </conditionalFormatting>
  <conditionalFormatting sqref="H36:H60">
    <cfRule type="expression" dxfId="4" priority="1">
      <formula>IF(H36="FCPE Nexans Plus 2022 C",TRUE,FALSE)</formula>
    </cfRule>
    <cfRule type="expression" dxfId="3" priority="2">
      <formula>IF(H36="FCPE Nexans Plus 2022 B",TRUE,FALSE)</formula>
    </cfRule>
    <cfRule type="expression" dxfId="2" priority="3">
      <formula>IF(H36="FCPE Nexans Plus 2022 A",TRUE,FALSE)</formula>
    </cfRule>
    <cfRule type="expression" dxfId="1" priority="4">
      <formula>IF(H36="Direct+SAR",TRUE,FALSE)</formula>
    </cfRule>
    <cfRule type="expression" dxfId="0" priority="5">
      <formula>IF(H36="FCPE+SAR",TRUE,FALSE)</formula>
    </cfRule>
  </conditionalFormatting>
  <dataValidations count="1">
    <dataValidation type="list" allowBlank="1" showInputMessage="1" showErrorMessage="1" sqref="C2" xr:uid="{F364BEAB-C568-4F21-A1EF-589803F62FF3}">
      <formula1>$B$36:$B$60</formula1>
    </dataValidation>
  </dataValidations>
  <pageMargins left="0.7" right="0.7" top="0.75" bottom="0.75" header="0.3" footer="0.3"/>
  <pageSetup paperSize="9" orientation="portrait" r:id="rId1"/>
  <headerFooter>
    <oddFooter>&amp;L&amp;1#&amp;"Calibri"&amp;1&amp;KFFFFFFC1 - Public Natixis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0E41-ED35-4133-917C-AE7C8C0A5B5A}">
  <sheetPr codeName="Feuil9">
    <pageSetUpPr autoPageBreaks="0"/>
  </sheetPr>
  <dimension ref="A7:H80"/>
  <sheetViews>
    <sheetView topLeftCell="A20" zoomScale="115" zoomScaleNormal="115" workbookViewId="0">
      <selection activeCell="B32" sqref="B32"/>
    </sheetView>
  </sheetViews>
  <sheetFormatPr baseColWidth="10" defaultRowHeight="12" x14ac:dyDescent="0.2"/>
  <cols>
    <col min="1" max="1" width="22.83203125" style="119" bestFit="1" customWidth="1"/>
    <col min="2" max="2" width="121.1640625" style="120" customWidth="1"/>
    <col min="3" max="3" width="9.33203125" style="120" customWidth="1"/>
    <col min="4" max="4" width="3" style="120" customWidth="1"/>
    <col min="5" max="5" width="65" style="121" customWidth="1"/>
    <col min="6" max="6" width="25" style="121" customWidth="1"/>
    <col min="7" max="7" width="14.1640625" style="121" customWidth="1"/>
    <col min="8" max="8" width="20.83203125" style="121" customWidth="1"/>
    <col min="9" max="16384" width="12" style="121"/>
  </cols>
  <sheetData>
    <row r="7" spans="1:8" ht="15" x14ac:dyDescent="0.25">
      <c r="A7" s="121"/>
      <c r="B7" s="122" t="s">
        <v>25</v>
      </c>
      <c r="C7" s="123" t="s">
        <v>26</v>
      </c>
      <c r="E7" s="122" t="s">
        <v>27</v>
      </c>
      <c r="F7" s="122"/>
      <c r="G7" s="122"/>
      <c r="H7" s="122"/>
    </row>
    <row r="8" spans="1:8" ht="12" customHeight="1" x14ac:dyDescent="0.25">
      <c r="A8" s="121"/>
      <c r="B8" s="210"/>
      <c r="C8" s="211"/>
      <c r="E8" s="210"/>
      <c r="F8" s="210"/>
      <c r="G8" s="210"/>
      <c r="H8" s="210"/>
    </row>
    <row r="9" spans="1:8" x14ac:dyDescent="0.2">
      <c r="A9" s="185" t="s">
        <v>28</v>
      </c>
      <c r="B9" s="217" t="s">
        <v>144</v>
      </c>
      <c r="C9" s="125"/>
    </row>
    <row r="10" spans="1:8" s="128" customFormat="1" ht="24" customHeight="1" x14ac:dyDescent="0.2">
      <c r="A10" s="186" t="s">
        <v>29</v>
      </c>
      <c r="B10" s="218" t="s">
        <v>145</v>
      </c>
      <c r="C10" s="126"/>
      <c r="D10" s="127"/>
    </row>
    <row r="11" spans="1:8" x14ac:dyDescent="0.2">
      <c r="A11" s="187"/>
      <c r="B11" s="176"/>
      <c r="C11" s="130"/>
    </row>
    <row r="12" spans="1:8" x14ac:dyDescent="0.2">
      <c r="A12" s="185" t="s">
        <v>30</v>
      </c>
      <c r="B12" s="219" t="s">
        <v>146</v>
      </c>
      <c r="C12" s="131"/>
    </row>
    <row r="13" spans="1:8" ht="48" customHeight="1" x14ac:dyDescent="0.2">
      <c r="A13" s="188"/>
      <c r="B13" s="218" t="s">
        <v>147</v>
      </c>
      <c r="C13" s="131"/>
      <c r="E13" s="177"/>
    </row>
    <row r="14" spans="1:8" x14ac:dyDescent="0.2">
      <c r="A14" s="133"/>
      <c r="B14" s="156"/>
      <c r="C14" s="131"/>
      <c r="E14" s="177"/>
    </row>
    <row r="15" spans="1:8" x14ac:dyDescent="0.2">
      <c r="A15" s="189" t="s">
        <v>51</v>
      </c>
      <c r="B15" s="218" t="s">
        <v>148</v>
      </c>
      <c r="C15" s="131"/>
      <c r="E15" s="177"/>
    </row>
    <row r="16" spans="1:8" x14ac:dyDescent="0.2">
      <c r="A16" s="189" t="s">
        <v>52</v>
      </c>
      <c r="B16" s="220" t="s">
        <v>149</v>
      </c>
      <c r="C16" s="131"/>
      <c r="E16" s="177"/>
    </row>
    <row r="17" spans="1:8" x14ac:dyDescent="0.2">
      <c r="A17" s="189" t="s">
        <v>53</v>
      </c>
      <c r="B17" s="220" t="s">
        <v>150</v>
      </c>
      <c r="C17" s="131"/>
      <c r="E17" s="229" t="s">
        <v>184</v>
      </c>
    </row>
    <row r="18" spans="1:8" s="1" customFormat="1" ht="48" customHeight="1" x14ac:dyDescent="0.2">
      <c r="A18" s="287" t="s">
        <v>31</v>
      </c>
      <c r="B18" s="221" t="s">
        <v>151</v>
      </c>
      <c r="C18" s="289" t="s">
        <v>54</v>
      </c>
      <c r="D18" s="192"/>
      <c r="E18" s="283" t="s">
        <v>185</v>
      </c>
      <c r="F18" s="285" t="s">
        <v>186</v>
      </c>
    </row>
    <row r="19" spans="1:8" s="1" customFormat="1" ht="84.75" customHeight="1" x14ac:dyDescent="0.2">
      <c r="A19" s="288"/>
      <c r="B19" s="222"/>
      <c r="C19" s="290"/>
      <c r="D19" s="192"/>
      <c r="E19" s="284"/>
      <c r="F19" s="286"/>
    </row>
    <row r="20" spans="1:8" ht="24" customHeight="1" x14ac:dyDescent="0.2">
      <c r="A20" s="133"/>
      <c r="B20" s="156"/>
      <c r="C20" s="131"/>
    </row>
    <row r="21" spans="1:8" x14ac:dyDescent="0.2">
      <c r="A21" s="134"/>
      <c r="B21" s="156"/>
      <c r="C21" s="131"/>
    </row>
    <row r="22" spans="1:8" x14ac:dyDescent="0.2">
      <c r="A22" s="135" t="s">
        <v>33</v>
      </c>
      <c r="B22" s="218" t="s">
        <v>152</v>
      </c>
      <c r="C22" s="137" t="s">
        <v>54</v>
      </c>
    </row>
    <row r="23" spans="1:8" ht="28.5" customHeight="1" x14ac:dyDescent="0.2">
      <c r="A23" s="129"/>
      <c r="B23" s="175"/>
      <c r="C23" s="131"/>
    </row>
    <row r="24" spans="1:8" x14ac:dyDescent="0.2">
      <c r="A24" s="124"/>
      <c r="B24" s="219" t="s">
        <v>153</v>
      </c>
      <c r="C24" s="131"/>
    </row>
    <row r="25" spans="1:8" x14ac:dyDescent="0.2">
      <c r="A25" s="132"/>
      <c r="B25" s="218" t="s">
        <v>154</v>
      </c>
      <c r="C25" s="131"/>
    </row>
    <row r="26" spans="1:8" x14ac:dyDescent="0.2">
      <c r="A26" s="133"/>
      <c r="B26" s="156"/>
      <c r="C26" s="131"/>
    </row>
    <row r="27" spans="1:8" x14ac:dyDescent="0.2">
      <c r="A27" s="133"/>
      <c r="B27" s="156"/>
      <c r="C27" s="131"/>
    </row>
    <row r="28" spans="1:8" x14ac:dyDescent="0.2">
      <c r="A28" s="133"/>
      <c r="B28" s="156"/>
      <c r="C28" s="131"/>
    </row>
    <row r="29" spans="1:8" ht="63.75" customHeight="1" x14ac:dyDescent="0.2">
      <c r="A29" s="138" t="s">
        <v>34</v>
      </c>
      <c r="B29" s="218" t="s">
        <v>155</v>
      </c>
      <c r="C29" s="139" t="s">
        <v>54</v>
      </c>
      <c r="E29" s="193" t="str">
        <f>E30&amp;" "&amp;E31&amp;" "&amp;E32&amp;" "&amp;E33&amp;"."</f>
        <v>输入您想要认购的Act 2022年的金额请注意：您的个人出资至少需要等于 CNY 71,43 (Act 2022年个人最低认购额为10欧元) 最高为 X.</v>
      </c>
      <c r="F29" s="193" t="str">
        <f>F30&amp;" "&amp;F31&amp;" "&amp;F32&amp;"."</f>
        <v>您輸入的個人供款金額不符合投資限額。  .</v>
      </c>
      <c r="G29" s="193" t="str">
        <f>G30&amp;" "&amp;G31&amp;" "&amp;G32&amp;"."</f>
        <v>您的认购不能超过 X 在Act 2022计划中.</v>
      </c>
      <c r="H29" s="194" t="str">
        <f>H30</f>
        <v>请先输入您预估的2022税前总收入</v>
      </c>
    </row>
    <row r="30" spans="1:8" ht="36" customHeight="1" x14ac:dyDescent="0.2">
      <c r="A30" s="138" t="s">
        <v>34</v>
      </c>
      <c r="B30" s="223" t="s">
        <v>156</v>
      </c>
      <c r="C30" s="140" t="s">
        <v>37</v>
      </c>
      <c r="E30" s="242" t="s">
        <v>194</v>
      </c>
      <c r="F30" s="291" t="s">
        <v>190</v>
      </c>
      <c r="G30" s="244" t="s">
        <v>187</v>
      </c>
      <c r="H30" s="280" t="s">
        <v>189</v>
      </c>
    </row>
    <row r="31" spans="1:8" x14ac:dyDescent="0.2">
      <c r="A31" s="133"/>
      <c r="B31" s="156"/>
      <c r="E31" s="252" t="str">
        <f>IF(Currency_code="EUR",FIXED(APmin_devise,2)&amp;" €",Currency_code&amp;" "&amp;FIXED(APmin_devise,2))</f>
        <v>CNY 71,43</v>
      </c>
      <c r="F31" s="292"/>
      <c r="G31" s="254" t="str">
        <f>E33</f>
        <v>X</v>
      </c>
      <c r="H31" s="281"/>
    </row>
    <row r="32" spans="1:8" ht="24" x14ac:dyDescent="0.2">
      <c r="A32" s="133"/>
      <c r="B32" s="156"/>
      <c r="E32" s="243" t="s">
        <v>193</v>
      </c>
      <c r="F32" s="293"/>
      <c r="G32" s="245" t="s">
        <v>188</v>
      </c>
      <c r="H32" s="281"/>
    </row>
    <row r="33" spans="1:8" x14ac:dyDescent="0.2">
      <c r="A33" s="141" t="s">
        <v>47</v>
      </c>
      <c r="B33" s="218" t="s">
        <v>157</v>
      </c>
      <c r="C33" s="137" t="s">
        <v>54</v>
      </c>
      <c r="E33" s="253" t="str">
        <f>IF(PlafondApport="","X",IF(Currency_code="EUR",FIXED(PlafondApport,2)&amp;" €",Currency_code&amp;" "&amp;FIXED(PlafondApport,2)))</f>
        <v>X</v>
      </c>
      <c r="F33" s="294"/>
      <c r="G33" s="230"/>
      <c r="H33" s="282"/>
    </row>
    <row r="34" spans="1:8" x14ac:dyDescent="0.2">
      <c r="A34" s="133"/>
      <c r="B34" s="156"/>
    </row>
    <row r="35" spans="1:8" ht="12.75" x14ac:dyDescent="0.2">
      <c r="A35" s="133"/>
      <c r="B35" s="156"/>
      <c r="E35" s="183"/>
      <c r="F35" s="183"/>
      <c r="G35" s="183"/>
      <c r="H35" s="142"/>
    </row>
    <row r="36" spans="1:8" ht="12.75" x14ac:dyDescent="0.2">
      <c r="A36" s="133"/>
      <c r="B36" s="156"/>
      <c r="E36" s="183"/>
      <c r="F36" s="183"/>
      <c r="G36" s="183"/>
      <c r="H36" s="142"/>
    </row>
    <row r="37" spans="1:8" ht="12" customHeight="1" x14ac:dyDescent="0.2">
      <c r="A37" s="143" t="s">
        <v>55</v>
      </c>
      <c r="B37" s="257" t="s">
        <v>197</v>
      </c>
      <c r="C37" s="139"/>
      <c r="E37" s="247" t="s">
        <v>191</v>
      </c>
      <c r="F37" s="183"/>
      <c r="G37" s="183"/>
      <c r="H37" s="142"/>
    </row>
    <row r="38" spans="1:8" ht="12" customHeight="1" x14ac:dyDescent="0.2">
      <c r="A38" s="143" t="s">
        <v>56</v>
      </c>
      <c r="B38" s="218" t="s">
        <v>158</v>
      </c>
      <c r="C38" s="137" t="s">
        <v>32</v>
      </c>
      <c r="E38" s="246" t="s">
        <v>195</v>
      </c>
    </row>
    <row r="39" spans="1:8" ht="12" customHeight="1" x14ac:dyDescent="0.2">
      <c r="A39" s="143" t="s">
        <v>57</v>
      </c>
      <c r="B39" s="218" t="s">
        <v>198</v>
      </c>
      <c r="C39" s="137" t="s">
        <v>32</v>
      </c>
      <c r="E39" s="255" t="s">
        <v>196</v>
      </c>
    </row>
    <row r="40" spans="1:8" ht="12" customHeight="1" x14ac:dyDescent="0.2">
      <c r="A40" s="144" t="s">
        <v>35</v>
      </c>
      <c r="B40" s="218" t="s">
        <v>159</v>
      </c>
      <c r="C40" s="131"/>
      <c r="E40" s="235"/>
    </row>
    <row r="41" spans="1:8" ht="60.75" customHeight="1" x14ac:dyDescent="0.2">
      <c r="A41" s="133"/>
      <c r="B41" s="156"/>
      <c r="C41" s="179"/>
      <c r="E41" s="235"/>
    </row>
    <row r="42" spans="1:8" x14ac:dyDescent="0.2">
      <c r="A42" s="145" t="s">
        <v>36</v>
      </c>
      <c r="B42" s="224" t="s">
        <v>160</v>
      </c>
      <c r="C42" s="146" t="s">
        <v>37</v>
      </c>
      <c r="E42" s="234"/>
    </row>
    <row r="43" spans="1:8" x14ac:dyDescent="0.2">
      <c r="A43" s="147" t="s">
        <v>58</v>
      </c>
      <c r="B43" s="218" t="s">
        <v>161</v>
      </c>
      <c r="C43" s="139" t="s">
        <v>37</v>
      </c>
      <c r="E43" s="234"/>
    </row>
    <row r="44" spans="1:8" x14ac:dyDescent="0.2">
      <c r="A44" s="148" t="s">
        <v>38</v>
      </c>
      <c r="B44" s="218" t="s">
        <v>162</v>
      </c>
      <c r="E44" s="234"/>
    </row>
    <row r="45" spans="1:8" x14ac:dyDescent="0.2">
      <c r="A45" s="135" t="s">
        <v>134</v>
      </c>
      <c r="B45" s="218" t="s">
        <v>163</v>
      </c>
      <c r="C45" s="137" t="s">
        <v>32</v>
      </c>
      <c r="E45" s="234"/>
    </row>
    <row r="46" spans="1:8" x14ac:dyDescent="0.2">
      <c r="A46" s="141" t="s">
        <v>135</v>
      </c>
      <c r="B46" s="218" t="s">
        <v>164</v>
      </c>
      <c r="C46" s="137" t="s">
        <v>32</v>
      </c>
      <c r="E46" s="234"/>
    </row>
    <row r="47" spans="1:8" x14ac:dyDescent="0.2">
      <c r="A47" s="173" t="s">
        <v>136</v>
      </c>
      <c r="B47" s="218" t="s">
        <v>165</v>
      </c>
      <c r="C47" s="137" t="s">
        <v>32</v>
      </c>
      <c r="E47" s="234"/>
    </row>
    <row r="48" spans="1:8" x14ac:dyDescent="0.2">
      <c r="A48" s="173" t="s">
        <v>137</v>
      </c>
      <c r="B48" s="218" t="s">
        <v>166</v>
      </c>
      <c r="C48" s="137" t="s">
        <v>32</v>
      </c>
      <c r="E48" s="234"/>
    </row>
    <row r="49" spans="1:5" x14ac:dyDescent="0.2">
      <c r="A49" s="133"/>
      <c r="B49" s="178"/>
      <c r="E49" s="234"/>
    </row>
    <row r="50" spans="1:5" ht="12" customHeight="1" x14ac:dyDescent="0.2">
      <c r="A50" s="216" t="s">
        <v>141</v>
      </c>
      <c r="B50" s="225" t="s">
        <v>167</v>
      </c>
      <c r="C50" s="137" t="s">
        <v>32</v>
      </c>
      <c r="E50" s="234"/>
    </row>
    <row r="51" spans="1:5" x14ac:dyDescent="0.2">
      <c r="A51" s="133"/>
      <c r="B51" s="178"/>
      <c r="E51" s="234"/>
    </row>
    <row r="52" spans="1:5" x14ac:dyDescent="0.2">
      <c r="A52" s="133"/>
      <c r="B52" s="156"/>
      <c r="E52" s="234"/>
    </row>
    <row r="53" spans="1:5" x14ac:dyDescent="0.2">
      <c r="A53" s="148" t="s">
        <v>39</v>
      </c>
      <c r="B53" s="224" t="s">
        <v>168</v>
      </c>
      <c r="C53" s="150"/>
      <c r="E53" s="234"/>
    </row>
    <row r="54" spans="1:5" x14ac:dyDescent="0.2">
      <c r="A54" s="148" t="s">
        <v>59</v>
      </c>
      <c r="B54" s="218" t="s">
        <v>169</v>
      </c>
      <c r="C54" s="131"/>
      <c r="E54" s="234"/>
    </row>
    <row r="55" spans="1:5" ht="24" customHeight="1" x14ac:dyDescent="0.2">
      <c r="A55" s="143" t="s">
        <v>60</v>
      </c>
      <c r="B55" s="218" t="s">
        <v>170</v>
      </c>
      <c r="C55" s="131"/>
      <c r="E55" s="234"/>
    </row>
    <row r="56" spans="1:5" x14ac:dyDescent="0.2">
      <c r="A56" s="143" t="s">
        <v>61</v>
      </c>
      <c r="B56" s="218" t="s">
        <v>171</v>
      </c>
      <c r="C56" s="139" t="s">
        <v>32</v>
      </c>
      <c r="E56" s="247" t="s">
        <v>192</v>
      </c>
    </row>
    <row r="57" spans="1:5" x14ac:dyDescent="0.2">
      <c r="A57" s="143" t="s">
        <v>61</v>
      </c>
      <c r="B57" s="226" t="s">
        <v>172</v>
      </c>
      <c r="C57" s="182"/>
    </row>
    <row r="58" spans="1:5" x14ac:dyDescent="0.2">
      <c r="A58" s="143" t="s">
        <v>61</v>
      </c>
      <c r="B58" s="226" t="s">
        <v>173</v>
      </c>
      <c r="C58" s="182"/>
    </row>
    <row r="59" spans="1:5" x14ac:dyDescent="0.2">
      <c r="A59" s="143" t="s">
        <v>61</v>
      </c>
      <c r="B59" s="227" t="s">
        <v>174</v>
      </c>
      <c r="C59" s="182"/>
    </row>
    <row r="60" spans="1:5" x14ac:dyDescent="0.2">
      <c r="A60" s="143" t="s">
        <v>61</v>
      </c>
      <c r="B60" s="226" t="s">
        <v>175</v>
      </c>
      <c r="C60" s="182"/>
    </row>
    <row r="61" spans="1:5" x14ac:dyDescent="0.2">
      <c r="A61" s="143" t="s">
        <v>61</v>
      </c>
      <c r="B61" s="227" t="s">
        <v>174</v>
      </c>
      <c r="C61" s="182"/>
    </row>
    <row r="62" spans="1:5" x14ac:dyDescent="0.2">
      <c r="A62" s="151" t="s">
        <v>62</v>
      </c>
      <c r="B62" s="218" t="s">
        <v>176</v>
      </c>
      <c r="C62" s="137" t="s">
        <v>54</v>
      </c>
    </row>
    <row r="63" spans="1:5" x14ac:dyDescent="0.2">
      <c r="A63" s="151" t="s">
        <v>40</v>
      </c>
      <c r="B63" s="218" t="s">
        <v>177</v>
      </c>
      <c r="C63" s="137" t="s">
        <v>37</v>
      </c>
    </row>
    <row r="64" spans="1:5" x14ac:dyDescent="0.2">
      <c r="A64" s="151" t="s">
        <v>41</v>
      </c>
      <c r="B64" s="218" t="s">
        <v>178</v>
      </c>
      <c r="C64" s="137" t="s">
        <v>37</v>
      </c>
    </row>
    <row r="65" spans="1:7" x14ac:dyDescent="0.2">
      <c r="A65" s="151" t="s">
        <v>41</v>
      </c>
      <c r="B65" s="223" t="s">
        <v>179</v>
      </c>
      <c r="C65" s="131"/>
    </row>
    <row r="66" spans="1:7" x14ac:dyDescent="0.2">
      <c r="A66" s="129"/>
      <c r="B66" s="175"/>
      <c r="C66" s="131"/>
      <c r="G66" s="120"/>
    </row>
    <row r="67" spans="1:7" x14ac:dyDescent="0.2">
      <c r="A67" s="190" t="s">
        <v>42</v>
      </c>
      <c r="B67" s="228" t="s">
        <v>180</v>
      </c>
      <c r="C67" s="131"/>
      <c r="G67" s="120"/>
    </row>
    <row r="68" spans="1:7" x14ac:dyDescent="0.2">
      <c r="A68" s="190"/>
      <c r="B68" s="224" t="s">
        <v>181</v>
      </c>
      <c r="C68" s="131"/>
      <c r="G68" s="120"/>
    </row>
    <row r="69" spans="1:7" x14ac:dyDescent="0.2">
      <c r="A69" s="187"/>
      <c r="B69" s="175"/>
      <c r="C69" s="131"/>
      <c r="G69" s="120"/>
    </row>
    <row r="70" spans="1:7" x14ac:dyDescent="0.2">
      <c r="A70" s="188" t="s">
        <v>43</v>
      </c>
      <c r="B70" s="219" t="s">
        <v>182</v>
      </c>
      <c r="C70" s="131"/>
      <c r="G70" s="120"/>
    </row>
    <row r="71" spans="1:7" ht="111" customHeight="1" x14ac:dyDescent="0.2">
      <c r="A71" s="188" t="s">
        <v>142</v>
      </c>
      <c r="B71" s="218" t="s">
        <v>183</v>
      </c>
      <c r="C71" s="131"/>
      <c r="G71" s="120"/>
    </row>
    <row r="72" spans="1:7" x14ac:dyDescent="0.2">
      <c r="C72" s="152"/>
    </row>
    <row r="73" spans="1:7" x14ac:dyDescent="0.2">
      <c r="A73" s="191" t="s">
        <v>46</v>
      </c>
    </row>
    <row r="74" spans="1:7" x14ac:dyDescent="0.2">
      <c r="A74" s="144" t="s">
        <v>44</v>
      </c>
      <c r="B74" s="153" t="s">
        <v>63</v>
      </c>
      <c r="C74" s="139" t="s">
        <v>45</v>
      </c>
      <c r="G74" s="120"/>
    </row>
    <row r="75" spans="1:7" ht="12" customHeight="1" x14ac:dyDescent="0.2">
      <c r="A75" s="149" t="s">
        <v>78</v>
      </c>
      <c r="B75" s="136" t="s">
        <v>64</v>
      </c>
      <c r="C75" s="137" t="s">
        <v>48</v>
      </c>
      <c r="G75" s="120"/>
    </row>
    <row r="76" spans="1:7" x14ac:dyDescent="0.2">
      <c r="A76" s="154" t="s">
        <v>47</v>
      </c>
      <c r="C76" s="130"/>
      <c r="G76" s="120"/>
    </row>
    <row r="77" spans="1:7" x14ac:dyDescent="0.2">
      <c r="A77" s="155" t="s">
        <v>49</v>
      </c>
    </row>
    <row r="78" spans="1:7" x14ac:dyDescent="0.2">
      <c r="A78" s="143" t="s">
        <v>65</v>
      </c>
    </row>
    <row r="79" spans="1:7" x14ac:dyDescent="0.2">
      <c r="A79" s="121" t="s">
        <v>50</v>
      </c>
    </row>
    <row r="80" spans="1:7" x14ac:dyDescent="0.2">
      <c r="A80" s="121" t="s">
        <v>66</v>
      </c>
    </row>
  </sheetData>
  <mergeCells count="6">
    <mergeCell ref="H30:H33"/>
    <mergeCell ref="E18:E19"/>
    <mergeCell ref="F18:F19"/>
    <mergeCell ref="A18:A19"/>
    <mergeCell ref="C18:C19"/>
    <mergeCell ref="F30:F33"/>
  </mergeCells>
  <pageMargins left="0.7" right="0.7" top="0.75" bottom="0.75" header="0.3" footer="0.3"/>
  <pageSetup paperSize="9" orientation="portrait" r:id="rId1"/>
  <headerFooter>
    <oddFooter>&amp;L&amp;1#&amp;"Calibri"&amp;1&amp;KFFFFFFC1 - Public Natixis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55</vt:i4>
      </vt:variant>
    </vt:vector>
  </HeadingPairs>
  <TitlesOfParts>
    <vt:vector size="56" baseType="lpstr">
      <vt:lpstr>Main</vt:lpstr>
      <vt:lpstr>Abondement_devise</vt:lpstr>
      <vt:lpstr>Abondement_EUR</vt:lpstr>
      <vt:lpstr>Amount1</vt:lpstr>
      <vt:lpstr>Amount2</vt:lpstr>
      <vt:lpstr>Amount3</vt:lpstr>
      <vt:lpstr>Amount4</vt:lpstr>
      <vt:lpstr>APmin</vt:lpstr>
      <vt:lpstr>APmin_devise</vt:lpstr>
      <vt:lpstr>Apport</vt:lpstr>
      <vt:lpstr>ApportEUR</vt:lpstr>
      <vt:lpstr>Avoirs_1</vt:lpstr>
      <vt:lpstr>Avoirs_2</vt:lpstr>
      <vt:lpstr>Avoirs_3</vt:lpstr>
      <vt:lpstr>Avoirs_4</vt:lpstr>
      <vt:lpstr>AvoirsTotaux</vt:lpstr>
      <vt:lpstr>AvoirsTotauxEUR</vt:lpstr>
      <vt:lpstr>Blocage</vt:lpstr>
      <vt:lpstr>ColumnsWidth</vt:lpstr>
      <vt:lpstr>Currency_code</vt:lpstr>
      <vt:lpstr>Text!Currency_initialFX</vt:lpstr>
      <vt:lpstr>Currency_initialFX</vt:lpstr>
      <vt:lpstr>Currency_name</vt:lpstr>
      <vt:lpstr>Currency_par</vt:lpstr>
      <vt:lpstr>DataColumn1</vt:lpstr>
      <vt:lpstr>DataColumn2</vt:lpstr>
      <vt:lpstr>Décote</vt:lpstr>
      <vt:lpstr>Developer_ModeTrueFalse</vt:lpstr>
      <vt:lpstr>HausseMoyenne</vt:lpstr>
      <vt:lpstr>HiddenRowsEtape1</vt:lpstr>
      <vt:lpstr>Hyp_finalFX</vt:lpstr>
      <vt:lpstr>Hyp_initialFX</vt:lpstr>
      <vt:lpstr>Levier</vt:lpstr>
      <vt:lpstr>Multiple</vt:lpstr>
      <vt:lpstr>Periode_Reservation</vt:lpstr>
      <vt:lpstr>Plafond_période2</vt:lpstr>
      <vt:lpstr>PlafondApport</vt:lpstr>
      <vt:lpstr>PlafondPEE</vt:lpstr>
      <vt:lpstr>RAB</vt:lpstr>
      <vt:lpstr>Respect_Plafond</vt:lpstr>
      <vt:lpstr>Rows_FXfinal</vt:lpstr>
      <vt:lpstr>Rows_FXinitial</vt:lpstr>
      <vt:lpstr>Rows_RSP_INT</vt:lpstr>
      <vt:lpstr>ScrollValue_CF</vt:lpstr>
      <vt:lpstr>ScrollValue_CMF</vt:lpstr>
      <vt:lpstr>StartCell</vt:lpstr>
      <vt:lpstr>UnlockedCell1</vt:lpstr>
      <vt:lpstr>User_ModeTrueFalse</vt:lpstr>
      <vt:lpstr>VBAmsg0</vt:lpstr>
      <vt:lpstr>VBAmsg1</vt:lpstr>
      <vt:lpstr>VBAmsg2</vt:lpstr>
      <vt:lpstr>VBAmsg3</vt:lpstr>
      <vt:lpstr>VBAmsg4</vt:lpstr>
      <vt:lpstr>VBAmsg5</vt:lpstr>
      <vt:lpstr>VBAmsg6</vt:lpstr>
      <vt:lpstr>VBAmsg7</vt:lpstr>
    </vt:vector>
  </TitlesOfParts>
  <Company>Natixis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Natixis</dc:creator>
  <cp:lastModifiedBy>Natixis</cp:lastModifiedBy>
  <dcterms:created xsi:type="dcterms:W3CDTF">2019-04-09T08:47:48Z</dcterms:created>
  <dcterms:modified xsi:type="dcterms:W3CDTF">2022-04-21T16:23:59Z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83a6fe-0b6e-4399-9d09-a1c8d8d5000c_Enabled">
    <vt:lpwstr>True</vt:lpwstr>
  </property>
  <property fmtid="{D5CDD505-2E9C-101B-9397-08002B2CF9AE}" pid="3" name="MSIP_Label_6e83a6fe-0b6e-4399-9d09-a1c8d8d5000c_SiteId">
    <vt:lpwstr>d5bb6d35-8a82-4329-b49a-5030bd6497ab</vt:lpwstr>
  </property>
  <property fmtid="{D5CDD505-2E9C-101B-9397-08002B2CF9AE}" pid="4" name="MSIP_Label_6e83a6fe-0b6e-4399-9d09-a1c8d8d5000c_Owner">
    <vt:lpwstr>nicolas.imhof@natixis.com</vt:lpwstr>
  </property>
  <property fmtid="{D5CDD505-2E9C-101B-9397-08002B2CF9AE}" pid="5" name="MSIP_Label_6e83a6fe-0b6e-4399-9d09-a1c8d8d5000c_SetDate">
    <vt:lpwstr>2021-03-26T14:48:30.2954194Z</vt:lpwstr>
  </property>
  <property fmtid="{D5CDD505-2E9C-101B-9397-08002B2CF9AE}" pid="6" name="MSIP_Label_6e83a6fe-0b6e-4399-9d09-a1c8d8d5000c_Name">
    <vt:lpwstr>C1 - Public Natixis</vt:lpwstr>
  </property>
  <property fmtid="{D5CDD505-2E9C-101B-9397-08002B2CF9AE}" pid="7" name="MSIP_Label_6e83a6fe-0b6e-4399-9d09-a1c8d8d5000c_Application">
    <vt:lpwstr>Microsoft Azure Information Protection</vt:lpwstr>
  </property>
  <property fmtid="{D5CDD505-2E9C-101B-9397-08002B2CF9AE}" pid="8" name="MSIP_Label_6e83a6fe-0b6e-4399-9d09-a1c8d8d5000c_ActionId">
    <vt:lpwstr>83b9a2d5-b44c-44b8-a77f-7b544f3d4f03</vt:lpwstr>
  </property>
  <property fmtid="{D5CDD505-2E9C-101B-9397-08002B2CF9AE}" pid="9" name="MSIP_Label_6e83a6fe-0b6e-4399-9d09-a1c8d8d5000c_Extended_MSFT_Method">
    <vt:lpwstr>Manual</vt:lpwstr>
  </property>
  <property fmtid="{D5CDD505-2E9C-101B-9397-08002B2CF9AE}" pid="10" name="Sensitivity">
    <vt:lpwstr>C1 - Public Natixis</vt:lpwstr>
  </property>
</Properties>
</file>