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autoCompressPictures="0"/>
  <mc:AlternateContent xmlns:mc="http://schemas.openxmlformats.org/markup-compatibility/2006">
    <mc:Choice Requires="x15">
      <x15ac:absPath xmlns:x15ac="http://schemas.microsoft.com/office/spreadsheetml/2010/11/ac" url="R:\DEFI\S_E_T\Teams\Origination_France\_2021\NEXANS\Simulateurs\Simulateurs pays\Version sans macro\"/>
    </mc:Choice>
  </mc:AlternateContent>
  <xr:revisionPtr revIDLastSave="0" documentId="13_ncr:1_{A36CB356-A3CC-4088-B92D-0B5367A5C594}" xr6:coauthVersionLast="47" xr6:coauthVersionMax="47" xr10:uidLastSave="{00000000-0000-0000-0000-000000000000}"/>
  <workbookProtection workbookAlgorithmName="SHA-512" workbookHashValue="EHo43qv3Lb3FUxghSf2L4SLtE3zd4o/FPyxW/3fQlc0FDIIY1pivj181sGiaXtRr/m555m+8v5Q9kJCWJUppKg==" workbookSaltValue="zJ7z61su/SSr2QCEzu+hNQ==" workbookSpinCount="100000" lockStructure="1"/>
  <bookViews>
    <workbookView showSheetTabs="0" xWindow="28680" yWindow="-120" windowWidth="29040" windowHeight="15840" xr2:uid="{00000000-000D-0000-FFFF-FFFF00000000}"/>
  </bookViews>
  <sheets>
    <sheet name="Main" sheetId="1" r:id="rId1"/>
    <sheet name="Data" sheetId="12" state="veryHidden" r:id="rId2"/>
    <sheet name="Text" sheetId="13" state="veryHidden" r:id="rId3"/>
  </sheets>
  <definedNames>
    <definedName name="_UNDO_UPS_" localSheetId="2" hidden="1">#REF!</definedName>
    <definedName name="_UNDO_UPS_" hidden="1">#REF!</definedName>
    <definedName name="_UNDO_UPS_SEL_" localSheetId="2" hidden="1">#REF!</definedName>
    <definedName name="_UNDO_UPS_SEL_" hidden="1">#REF!</definedName>
    <definedName name="_UNDO31X31X_" localSheetId="2" hidden="1">#REF!</definedName>
    <definedName name="_UNDO31X31X_" hidden="1">#REF!</definedName>
    <definedName name="Abondement_devise">Main!$Q$25</definedName>
    <definedName name="Abondement_EUR">Main!$Q$33</definedName>
    <definedName name="Amount1">Text!$E$22</definedName>
    <definedName name="Amount2">Text!$E$24</definedName>
    <definedName name="Amount3">Text!$F$22</definedName>
    <definedName name="Amount4">Text!$G$22</definedName>
    <definedName name="APmin">Data!$C$16</definedName>
    <definedName name="APmin_devise">Data!$C$17</definedName>
    <definedName name="Apport">Main!$H$25</definedName>
    <definedName name="ApportEUR">Main!$H$33</definedName>
    <definedName name="Avoirs_1">Main!$H$47</definedName>
    <definedName name="Avoirs_2">Main!$Q$47</definedName>
    <definedName name="AvoirsTotaux">Main!$H$58</definedName>
    <definedName name="AvoirsTotauxEUR">Main!$H$50</definedName>
    <definedName name="Blocage">Data!$C$14</definedName>
    <definedName name="ColumnsWidth">Data!$C$7</definedName>
    <definedName name="Currency_code">Data!$C$3</definedName>
    <definedName name="Currency_initialFX">Data!$C$6</definedName>
    <definedName name="Currency_name">Data!$C$4</definedName>
    <definedName name="Currency_par">Data!$C$5</definedName>
    <definedName name="DataColumn1">Main!$H:$H</definedName>
    <definedName name="DataColumn2">Main!$Q:$Q</definedName>
    <definedName name="Décote">Data!$C$9</definedName>
    <definedName name="Developer_ModeTrueFalse">Main!$D$79</definedName>
    <definedName name="HausseMoyenne">Main!$H$39</definedName>
    <definedName name="HiddenRowsEtape1">Main!$76:$88</definedName>
    <definedName name="Hyp_finalFX">Main!$H$56</definedName>
    <definedName name="Hyp_initialFX">Main!$H$31</definedName>
    <definedName name="Levier">Data!$C$10</definedName>
    <definedName name="Multiple">Data!$C$11</definedName>
    <definedName name="Periode_Reservation">Main!$D$83</definedName>
    <definedName name="Plafond_période2">Main!$F$88</definedName>
    <definedName name="PlafondApport">Main!$Q$16</definedName>
    <definedName name="PlafondPEE">Main!$F$87</definedName>
    <definedName name="RAB">Main!$Q$11</definedName>
    <definedName name="Respect_Plafond">Main!$H$87</definedName>
    <definedName name="Rows_FXfinal">Main!$48:$56</definedName>
    <definedName name="Rows_FXinitial">Main!$30:$35</definedName>
    <definedName name="Rows_RSP_INT">Main!$23:$24</definedName>
    <definedName name="ScrollValue_CF">Main!$D$87</definedName>
    <definedName name="ScrollValue_CMF">Main!$D$86</definedName>
    <definedName name="SpreadsheetBuilder_1" localSheetId="2" hidden="1">#REF!</definedName>
    <definedName name="SpreadsheetBuilder_1" hidden="1">#REF!</definedName>
    <definedName name="StartCell">Main!$J$2</definedName>
    <definedName name="UnlockedCell1">Main!$H$45</definedName>
    <definedName name="User_ModeTrueFalse">Main!$D$80</definedName>
    <definedName name="VBAmsg0">Text!$E$11</definedName>
    <definedName name="VBAmsg1">Text!$F$12</definedName>
    <definedName name="VBAmsg2">Text!$E$20</definedName>
    <definedName name="VBAmsg3">Text!$F$20</definedName>
    <definedName name="VBAmsg4">Text!$G$20</definedName>
    <definedName name="VBAmsg5">Text!$H$20</definedName>
    <definedName name="VBAmsg6">Text!$E$37</definedName>
    <definedName name="VBAmsg7">Text!$E$38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6" i="1" l="1"/>
  <c r="H57" i="1" l="1"/>
  <c r="I31" i="1"/>
  <c r="F20" i="13" l="1"/>
  <c r="C15" i="1"/>
  <c r="C35" i="1" l="1"/>
  <c r="C29" i="1"/>
  <c r="C31" i="1"/>
  <c r="C14" i="1"/>
  <c r="C13" i="1"/>
  <c r="C14" i="12"/>
  <c r="C7" i="12"/>
  <c r="C3" i="12"/>
  <c r="F88" i="1"/>
  <c r="H88" i="1" s="1"/>
  <c r="F87" i="1"/>
  <c r="H20" i="13"/>
  <c r="C48" i="13"/>
  <c r="Q16" i="1" l="1"/>
  <c r="E24" i="13" s="1"/>
  <c r="J56" i="1"/>
  <c r="B64" i="1"/>
  <c r="L43" i="1" l="1"/>
  <c r="C43" i="1"/>
  <c r="I37" i="12" l="1"/>
  <c r="I38" i="12"/>
  <c r="I39" i="12"/>
  <c r="I40" i="12"/>
  <c r="I41" i="12"/>
  <c r="I42" i="12"/>
  <c r="I43" i="12"/>
  <c r="I44" i="12"/>
  <c r="I45" i="12"/>
  <c r="I46" i="12"/>
  <c r="I47" i="12"/>
  <c r="I48" i="12"/>
  <c r="I49" i="12"/>
  <c r="I50" i="12"/>
  <c r="I51" i="12"/>
  <c r="I52" i="12"/>
  <c r="I53" i="12"/>
  <c r="I54" i="12"/>
  <c r="C11" i="12" s="1"/>
  <c r="I55" i="12"/>
  <c r="I56" i="12"/>
  <c r="I57" i="12"/>
  <c r="I58" i="12"/>
  <c r="I59" i="12"/>
  <c r="I60" i="12"/>
  <c r="I36" i="12"/>
  <c r="F37" i="12" l="1"/>
  <c r="F38" i="12"/>
  <c r="F39" i="12"/>
  <c r="F40" i="12"/>
  <c r="F41" i="12"/>
  <c r="F42" i="12"/>
  <c r="F43" i="12"/>
  <c r="F44" i="12"/>
  <c r="F45" i="12"/>
  <c r="F46" i="12"/>
  <c r="F47" i="12"/>
  <c r="F48" i="12"/>
  <c r="F49" i="12"/>
  <c r="F50" i="12"/>
  <c r="F51" i="12"/>
  <c r="F52" i="12"/>
  <c r="F53" i="12"/>
  <c r="F54" i="12"/>
  <c r="C5" i="12" s="1"/>
  <c r="F55" i="12"/>
  <c r="F56" i="12"/>
  <c r="F57" i="12"/>
  <c r="F58" i="12"/>
  <c r="F59" i="12"/>
  <c r="F60" i="12"/>
  <c r="F36" i="12"/>
  <c r="B5" i="12"/>
  <c r="C17" i="12" l="1"/>
  <c r="C6" i="12"/>
  <c r="B6" i="12"/>
  <c r="F31" i="1"/>
  <c r="E22" i="13" l="1"/>
  <c r="B19" i="1"/>
  <c r="C60" i="1"/>
  <c r="C59" i="1"/>
  <c r="C55" i="1"/>
  <c r="C53" i="1"/>
  <c r="L60" i="1"/>
  <c r="C62" i="1"/>
  <c r="Q39" i="1"/>
  <c r="L33" i="1" l="1"/>
  <c r="C33" i="1"/>
  <c r="L38" i="1"/>
  <c r="L25" i="1"/>
  <c r="E68" i="1" l="1"/>
  <c r="E66" i="1"/>
  <c r="C38" i="1"/>
  <c r="L35" i="1"/>
  <c r="C25" i="1"/>
  <c r="C23" i="1"/>
  <c r="B21" i="1"/>
  <c r="D16" i="1"/>
  <c r="C11" i="1"/>
  <c r="B13" i="1"/>
  <c r="C9" i="1"/>
  <c r="B7" i="1"/>
  <c r="B4" i="1"/>
  <c r="B2" i="1"/>
  <c r="H39" i="1" l="1"/>
  <c r="E20" i="13" l="1"/>
  <c r="H87" i="1"/>
  <c r="H29" i="1"/>
  <c r="G22" i="13" l="1"/>
  <c r="G20" i="13" s="1"/>
  <c r="C19" i="1" s="1"/>
  <c r="H33" i="1" s="1"/>
  <c r="Q33" i="1" s="1"/>
  <c r="Q25" i="1" s="1"/>
  <c r="C23" i="12"/>
  <c r="F23" i="12" s="1"/>
  <c r="F22" i="12"/>
  <c r="H47" i="1" l="1"/>
  <c r="C47" i="1" s="1"/>
  <c r="F24" i="12"/>
  <c r="Q35" i="1" l="1"/>
  <c r="Q47" i="1"/>
  <c r="H50" i="1" l="1"/>
  <c r="C50" i="1" s="1"/>
  <c r="L47" i="1"/>
  <c r="Q29" i="1"/>
  <c r="F56" i="1"/>
  <c r="L29" i="1"/>
  <c r="H58" i="1" l="1"/>
  <c r="H60" i="1" l="1"/>
  <c r="H59" i="1"/>
  <c r="C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Natixis</author>
  </authors>
  <commentList>
    <comment ref="Q11" authorId="0" shapeId="0" xr:uid="{C58AD137-D4C9-40EC-AF1B-BD5C86CD00B6}">
      <text>
        <r>
          <rPr>
            <sz val="8"/>
            <color indexed="9"/>
            <rFont val="Arial"/>
            <family val="2"/>
          </rPr>
          <t xml:space="preserve">Por favor, introduce el importe de tu remuneración anual bruta estimada para 2022.
</t>
        </r>
        <r>
          <rPr>
            <sz val="2"/>
            <color indexed="9"/>
            <rFont val="Arial"/>
            <family val="2"/>
          </rPr>
          <t xml:space="preserve"> 
</t>
        </r>
        <r>
          <rPr>
            <sz val="8"/>
            <color indexed="9"/>
            <rFont val="Arial"/>
            <family val="2"/>
          </rPr>
          <t xml:space="preserve">El importe de tu remuneración anual bruta estimada para 2022 incluye los importes ya percibidos y los que esperas recibir hasta el 31 de diciembre de 2022. 
</t>
        </r>
        <r>
          <rPr>
            <sz val="2"/>
            <color indexed="9"/>
            <rFont val="Arial"/>
            <family val="2"/>
          </rPr>
          <t xml:space="preserve"> 
</t>
        </r>
        <r>
          <rPr>
            <sz val="8"/>
            <color indexed="9"/>
            <rFont val="Arial"/>
            <family val="2"/>
          </rPr>
          <t xml:space="preserve">Puedes estimar tu remuneración anual bruta para 2022 sumando a tu salario fijo, dependiendo del caso, los conceptos variables percibidos en 2022 (bonus, retribución variable 2021,...).
</t>
        </r>
        <r>
          <rPr>
            <sz val="2"/>
            <color indexed="9"/>
            <rFont val="Arial"/>
            <family val="2"/>
          </rPr>
          <t xml:space="preserve"> 
</t>
        </r>
        <r>
          <rPr>
            <sz val="8"/>
            <color indexed="9"/>
            <rFont val="Arial"/>
            <family val="2"/>
          </rPr>
          <t>Solo se deben tener en cuenta los conceptos retirbutivos percibidos como empleado del Grupo Nexans.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Natixis</author>
  </authors>
  <commentList>
    <comment ref="E20" authorId="0" shapeId="0" xr:uid="{4A85AECC-B9CB-49B0-ACEF-756AAD4ED787}">
      <text>
        <r>
          <rPr>
            <b/>
            <sz val="9"/>
            <color indexed="81"/>
            <rFont val="Tahoma"/>
            <family val="2"/>
          </rPr>
          <t>message appearing when selection the cell</t>
        </r>
      </text>
    </comment>
    <comment ref="F20" authorId="0" shapeId="0" xr:uid="{03701273-D9E2-49AE-A341-A56DD2F1429F}">
      <text>
        <r>
          <rPr>
            <b/>
            <sz val="9"/>
            <color indexed="81"/>
            <rFont val="Tahoma"/>
            <family val="2"/>
          </rPr>
          <t xml:space="preserve">message appearing in case the personal contribution is too low
</t>
        </r>
        <r>
          <rPr>
            <sz val="9"/>
            <color indexed="81"/>
            <rFont val="Tahoma"/>
            <family val="2"/>
          </rPr>
          <t xml:space="preserve">
</t>
        </r>
      </text>
    </comment>
    <comment ref="G20" authorId="0" shapeId="0" xr:uid="{AFC570E9-D379-411C-B34A-26E27EAE60E7}">
      <text>
        <r>
          <rPr>
            <b/>
            <sz val="9"/>
            <color indexed="81"/>
            <rFont val="Tahoma"/>
            <family val="2"/>
          </rPr>
          <t>message appearing in case the personal contribution exceeds the limit</t>
        </r>
      </text>
    </comment>
    <comment ref="H20" authorId="0" shapeId="0" xr:uid="{75F6C6D8-8E8D-4242-9DB7-F38DBB403B0A}">
      <text>
        <r>
          <rPr>
            <b/>
            <sz val="9"/>
            <color indexed="81"/>
            <rFont val="Tahoma"/>
            <family val="2"/>
          </rPr>
          <t>message appearing in case the user fills the personal contribution cell but did not enter its estimated gross income</t>
        </r>
        <r>
          <rPr>
            <sz val="9"/>
            <color indexed="81"/>
            <rFont val="Tahoma"/>
            <family val="2"/>
          </rPr>
          <t xml:space="preserve">
</t>
        </r>
      </text>
    </comment>
  </commentList>
</comments>
</file>

<file path=xl/sharedStrings.xml><?xml version="1.0" encoding="utf-8"?>
<sst xmlns="http://schemas.openxmlformats.org/spreadsheetml/2006/main" count="278" uniqueCount="191">
  <si>
    <t>Levier</t>
  </si>
  <si>
    <t>Tranche 1</t>
  </si>
  <si>
    <t>Tranche 2</t>
  </si>
  <si>
    <t>de</t>
  </si>
  <si>
    <t>à</t>
  </si>
  <si>
    <t>montant max (brut)</t>
  </si>
  <si>
    <t>Multiple</t>
  </si>
  <si>
    <t>Date de commencement</t>
  </si>
  <si>
    <t>Plafond</t>
  </si>
  <si>
    <t>Date d'échéance</t>
  </si>
  <si>
    <t>taux</t>
  </si>
  <si>
    <t xml:space="preserve">Règle 2 : </t>
  </si>
  <si>
    <t>Règle 1 :</t>
  </si>
  <si>
    <t>Souscription</t>
  </si>
  <si>
    <t>Respect plafond ?</t>
  </si>
  <si>
    <t>Barème d'abondement</t>
  </si>
  <si>
    <t>Tranche</t>
  </si>
  <si>
    <t>(= complément bancaire)</t>
  </si>
  <si>
    <t>Durée de blocage</t>
  </si>
  <si>
    <t xml:space="preserve">Mode : </t>
  </si>
  <si>
    <t>Développeur</t>
  </si>
  <si>
    <t xml:space="preserve">Utilisateur : </t>
  </si>
  <si>
    <t>Décote</t>
  </si>
  <si>
    <t>EUR</t>
  </si>
  <si>
    <t>Hyp Hausse moy</t>
  </si>
  <si>
    <t>Hyp Hausse finale</t>
  </si>
  <si>
    <t>NZD</t>
  </si>
  <si>
    <t>+</t>
  </si>
  <si>
    <t>Nom devise</t>
  </si>
  <si>
    <t>Apport personnel min (EUR)</t>
  </si>
  <si>
    <t>Apport personnel min (devise)</t>
  </si>
  <si>
    <t>Symbole devise</t>
  </si>
  <si>
    <t>Country</t>
  </si>
  <si>
    <t>Structure</t>
  </si>
  <si>
    <t>Sub-structure</t>
  </si>
  <si>
    <t>AUSTRALIA</t>
  </si>
  <si>
    <t>Direct+SAR</t>
  </si>
  <si>
    <t>AUD</t>
  </si>
  <si>
    <t>BELGIUM</t>
  </si>
  <si>
    <t>FCPE Nexans Plus 2022 B</t>
  </si>
  <si>
    <t>BRAZIL</t>
  </si>
  <si>
    <t>FCPE Nexans Plus 2022 A</t>
  </si>
  <si>
    <t>BRL</t>
  </si>
  <si>
    <t>CANADA</t>
  </si>
  <si>
    <t>CAD</t>
  </si>
  <si>
    <t>CHILE</t>
  </si>
  <si>
    <t>CLP</t>
  </si>
  <si>
    <t>CHINA</t>
  </si>
  <si>
    <t>FCPE+SAR</t>
  </si>
  <si>
    <t>CNY</t>
  </si>
  <si>
    <t>COLOMBIA</t>
  </si>
  <si>
    <t>COP</t>
  </si>
  <si>
    <t>FRANCE</t>
  </si>
  <si>
    <t>FCPE Nexans Plus 2022 C</t>
  </si>
  <si>
    <t>GERMANY</t>
  </si>
  <si>
    <t>GHANA</t>
  </si>
  <si>
    <t>GHS</t>
  </si>
  <si>
    <t>GREECE</t>
  </si>
  <si>
    <t>ITALY</t>
  </si>
  <si>
    <t>IVORY COAST</t>
  </si>
  <si>
    <t>XOF</t>
  </si>
  <si>
    <t>JAPAN</t>
  </si>
  <si>
    <t>JPY</t>
  </si>
  <si>
    <t>LEBANON</t>
  </si>
  <si>
    <t>USD</t>
  </si>
  <si>
    <t>MOROCCO</t>
  </si>
  <si>
    <t>MAR</t>
  </si>
  <si>
    <t>NEW ZEALAND</t>
  </si>
  <si>
    <t>NORWAY</t>
  </si>
  <si>
    <t>NOK</t>
  </si>
  <si>
    <t>PERU</t>
  </si>
  <si>
    <t>PEN</t>
  </si>
  <si>
    <t>SOUTH KOREA</t>
  </si>
  <si>
    <t>KRW</t>
  </si>
  <si>
    <t>SPAIN</t>
  </si>
  <si>
    <t>SWEDEN</t>
  </si>
  <si>
    <t>SEK</t>
  </si>
  <si>
    <t>SWITZERLAND</t>
  </si>
  <si>
    <t>CHF</t>
  </si>
  <si>
    <t>TURKEY</t>
  </si>
  <si>
    <t>TRY</t>
  </si>
  <si>
    <t>USA</t>
  </si>
  <si>
    <t>Currency name</t>
  </si>
  <si>
    <t>Currency code</t>
  </si>
  <si>
    <t>Pays</t>
  </si>
  <si>
    <t>Indicative FX EUR/Ccy</t>
  </si>
  <si>
    <t>Sens change affiché</t>
  </si>
  <si>
    <t>Largeur colonne</t>
  </si>
  <si>
    <t>normal</t>
  </si>
  <si>
    <t>large</t>
  </si>
  <si>
    <t>Multiples</t>
  </si>
  <si>
    <t xml:space="preserve"> (1)</t>
  </si>
  <si>
    <t>=</t>
  </si>
  <si>
    <t>non-EUR elements</t>
  </si>
  <si>
    <t>specificities</t>
  </si>
  <si>
    <t>outputs</t>
  </si>
  <si>
    <t>matching contribution</t>
  </si>
  <si>
    <t>Legend:</t>
  </si>
  <si>
    <t>inputs</t>
  </si>
  <si>
    <t>leveraged formula</t>
  </si>
  <si>
    <t>Disclaimer</t>
  </si>
  <si>
    <t>Title</t>
  </si>
  <si>
    <t>Warning</t>
  </si>
  <si>
    <t>Performance - annual</t>
  </si>
  <si>
    <t>%</t>
  </si>
  <si>
    <t>Performance - total</t>
  </si>
  <si>
    <t>Ccy</t>
  </si>
  <si>
    <t>Total assets value Ccy</t>
  </si>
  <si>
    <t>Footnote dividends</t>
  </si>
  <si>
    <t>Footnote tax</t>
  </si>
  <si>
    <t>Matching contribution value</t>
  </si>
  <si>
    <t>Payoff - with gain</t>
  </si>
  <si>
    <t>Payoff - no gain</t>
  </si>
  <si>
    <t>Footnote price</t>
  </si>
  <si>
    <t>Final price</t>
  </si>
  <si>
    <t>Protected avg increase</t>
  </si>
  <si>
    <t>Min investment</t>
  </si>
  <si>
    <t>personal contribution</t>
  </si>
  <si>
    <t>max personal contribution</t>
  </si>
  <si>
    <t>Gross income N</t>
  </si>
  <si>
    <t>Subscription</t>
  </si>
  <si>
    <t>or</t>
  </si>
  <si>
    <t>Reservation</t>
  </si>
  <si>
    <t>Title section 1</t>
  </si>
  <si>
    <t>Subtitle</t>
  </si>
  <si>
    <t>VBA MESSAGES</t>
  </si>
  <si>
    <t>I/O</t>
  </si>
  <si>
    <t>EXCEL</t>
  </si>
  <si>
    <t>Body disclaimer</t>
  </si>
  <si>
    <t/>
  </si>
  <si>
    <t>FX rate at inception</t>
  </si>
  <si>
    <t>personal contribution in €</t>
  </si>
  <si>
    <t>matching contribution in €</t>
  </si>
  <si>
    <t>Total assets value EUR</t>
  </si>
  <si>
    <t>Message FX</t>
  </si>
  <si>
    <t>FX rate at maturity</t>
  </si>
  <si>
    <t xml:space="preserve">Période : </t>
  </si>
  <si>
    <t>Résevation</t>
  </si>
  <si>
    <t>SIMULADOR</t>
  </si>
  <si>
    <t>Este simulador te permite hacer una estimación de la cantidad que puedes invertir en Act 2022 y el resultado de tu inversión:</t>
  </si>
  <si>
    <t>¿CUÁNTO PUEDES INVERTIR EN ACT 2022?</t>
  </si>
  <si>
    <t>o</t>
  </si>
  <si>
    <t xml:space="preserve">Para saber cuál es el importe máximo que puedes invertir en Act 2022, introduce el importe correspondiente a tu remuneración anual bruta estimada para el 2022 (incluyendo bonos y primas): </t>
  </si>
  <si>
    <t xml:space="preserve">Por lo tanto, tu aportación personal máxima en Act 2022 es de: </t>
  </si>
  <si>
    <t>¿CUÁNTO PUEDE GENERAR UNA INVERSIÓN EN ACT 2022?</t>
  </si>
  <si>
    <t>A continuación aparece cómo calcular el posible importe que podrías recibir al final del plan, en función de la evolución del precio de la acción de Nexans:</t>
  </si>
  <si>
    <t>Importe de tu aportación personal invertida en el compartimento 
"Nexans Plus 2022 A":</t>
  </si>
  <si>
    <t>En % del límite</t>
  </si>
  <si>
    <t>Contribución equivalente de la empresa invertida en el fondo "Actionnariat Nexans":</t>
  </si>
  <si>
    <t>Aportación personal mínima = 10 €</t>
  </si>
  <si>
    <t>Si el incremento promedio protegido de la acción de Nexans a lo largo de 5 años es:</t>
  </si>
  <si>
    <t>Si la evolución del precio de la acción de Nexans al final de los 5 años del período de bloqueo es:</t>
  </si>
  <si>
    <t>(1) en comparación con el precio de referencia de la acción de Nexans</t>
  </si>
  <si>
    <t>En el compartimento "Nexans Plus 2022 A", recibes tu aportación personal al vencimiento:</t>
  </si>
  <si>
    <t>En el compartimento "Nexans Plus 2022 A", recibes al vencimiento *</t>
  </si>
  <si>
    <t>veces tu aportación personal, es decir:</t>
  </si>
  <si>
    <t>Valor de tus activos en el fondo "Actionnariat Nexans" en EUR * **</t>
  </si>
  <si>
    <t>Valor total de tus activos al final de los 5 años en EUR</t>
  </si>
  <si>
    <t>(*) Antes de impuestos y contribuciones sociales</t>
  </si>
  <si>
    <t>(**) Excluyendo los dividendos potencialmente recibidos en el fondo "Actionnariat Nexans"</t>
  </si>
  <si>
    <t>Es decir, ningún cambio en el tipo de cambio entre el inicio y el vencimiento del plan.</t>
  </si>
  <si>
    <t>entre el inicio y la madurez del plan.</t>
  </si>
  <si>
    <t>Rendimiento total (respecto a tu aportación personal) * **</t>
  </si>
  <si>
    <t>Rendimiento anualizado (respecto a tu aportación personal) * **</t>
  </si>
  <si>
    <t>%/año</t>
  </si>
  <si>
    <t>ADVERTENCIA:</t>
  </si>
  <si>
    <t>El incremento promedio protegido de la acción se calcula a partir de una media de 60 registros mensuales, y no a partir del precio de la acción de Nexans al vencimiento del plan.</t>
  </si>
  <si>
    <t>Aviso importante</t>
  </si>
  <si>
    <t>Por favor, ingrese el monto de su compensación anual bruta estimada para 2022.
La compensación anual bruta estimada para 2022 incluye montos ya cobrados y los que esperas cobrar antes del 31 de diciembre de 2022.
Puedes estimar tu remuneración anual bruta para 2022 sumando a tu salario fijo, según el caso, los elementos variables abonados en 2022 (bonificaciones, remuneración variable 2021,...).
Solo se deben tener en cuenta los elementos de su compensación recibidos como empleado del Grupo Nexans.</t>
  </si>
  <si>
    <t>El importe de la remuneración anual bruta que has introducido es tal que tu aportación personal en Act 2022, convertida a Euro,  sería menor a 10€. Póngase en contacto con su corresponsal de recursos humanos.</t>
  </si>
  <si>
    <t>(correspondiente a la aportación personal mínima en Act 2022 de 10 €) y como máximo igual a</t>
  </si>
  <si>
    <t>No puedes invertir más de</t>
  </si>
  <si>
    <t>en Act 2022</t>
  </si>
  <si>
    <t>Primero ingrese el monto de tu compensación anual bruta estimada para 2022.</t>
  </si>
  <si>
    <t>El importe de la aportación personal que ha introducido no respeta los límites de inversión.</t>
  </si>
  <si>
    <t>Introduce una suposición de tipo de cambio inicial.</t>
  </si>
  <si>
    <t>Introduce una suposición de tipo de cambio final.</t>
  </si>
  <si>
    <t>haces una reserva durante el período de reserva (del 9 al 24 de mayo de 2022)</t>
  </si>
  <si>
    <t>no has reservado durante el período de reserva y quieres suscribirte durante el período de suscripción/revocación (del 23 al 28 de junio de 2022)</t>
  </si>
  <si>
    <t>El valor de tus activos en soles peruanos dependerá del tipo de cambio sol peruano/euro al final del período de bloqueo de 5 años.</t>
  </si>
  <si>
    <t>Si al final del período de bloqueo de 5 años, el tipo de cambio sol peruano/euro es</t>
  </si>
  <si>
    <t>Es decir, una apreciación del EUR frente al PEN de</t>
  </si>
  <si>
    <t>Es decir, una depreciación del EUR frente al PEN de</t>
  </si>
  <si>
    <t>Valor total de tus activos al final de los 5 años en soles peruanos * **</t>
  </si>
  <si>
    <t>Este simulador proporciona un resultado indicativo y está pensado para ayudarte a calcular el posible rendimiento de una inversión en Act 2022. Tu retorno de la inversión real se determinará sobre la base (i) del incremento promedio protegido de la acción de Nexans durante el período de bloqueo de 5 años, (ii) el valor de la acción de Nexans al final del período de bloqueo de 5 años y (iii) cualquier dividendo derivado de tu inversión en el fondo Actionnariat Nexans y (iv) de la evolución del tipo de cambio sol peruano/euro. No se puede dar ninguna garantía en cuanto a la evolución futura del precio de las acciones de Nexans ni del tipo de cambio sol peruano/euro, ni sobre las variaciones en otros factores que puedan afectar al valor de tu inversión y que no se han tenido en cuenta en este simulador (como potenciales dividendos,  y la tributación fiscal y de las contribuciones sociales). Para obtener más información sobre los factores que pueden afectar al valor futuro de tu inversión, consulta el folleto sobre Act 2022, el Suplemento Local y los Documentos de Datos Fundamentales para el Inversor (KIID) del compartimento "NEXANS PLUS 2022 A" del fondo "NEXANS PLUS 2022" y de los fondos "NEXANS PLUS RELAIS 2022" y "ACTIONNARIAT NEXANS".</t>
  </si>
  <si>
    <t>Al suscribirte durante este período, tu inversión (incluido el complemento bancario) se limita al 2,5% de tu remuneración bruta anual de 2022.</t>
  </si>
  <si>
    <t>Si el tipo de cambio Sol Peruano/Euro inicial es:</t>
  </si>
  <si>
    <t>Entonces, convertido a Euros, su contribución personal es:</t>
  </si>
  <si>
    <t>y la contribución equivalente de la empresa en Euros es:</t>
  </si>
  <si>
    <t>Ingresa el monto que deseas invertir en Act 2022.
Advertencia: tu aportación personal debe ser al menos igual a</t>
  </si>
  <si>
    <t>En Act 2022 puedes invertir como máximo el 25 % de tu remuneración anual bruta estimada para el 2022, teniendo en cuenta la contribución del banco. 
Para obtener información más detallada, consulta el folleto "Act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</si>
</sst>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0\ &quot;€&quot;"/>
    <numFmt numFmtId="166" formatCode="0.0%"/>
    <numFmt numFmtId="167" formatCode="0.0000"/>
    <numFmt numFmtId="168" formatCode="0.00&quot; ans&quot;"/>
    <numFmt numFmtId="169" formatCode="#,##0.00\ [$EUR]"/>
    <numFmt numFmtId="170" formatCode="#,##0.00\ [$NZD]"/>
    <numFmt numFmtId="171" formatCode="[$EUR]\ #,##0.00"/>
    <numFmt numFmtId="172" formatCode="[$BRL]\ #,##0.00"/>
    <numFmt numFmtId="173" formatCode="\ #,##0.00\ \€"/>
    <numFmt numFmtId="174" formatCode="\+0%;\-0%;0%"/>
    <numFmt numFmtId="175" formatCode="[$PEN]\ #,##0.00"/>
  </numFmts>
  <fonts count="60" x14ac:knownFonts="1">
    <font>
      <sz val="8"/>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8"/>
      <color theme="1"/>
      <name val="Arial"/>
      <family val="2"/>
    </font>
    <font>
      <b/>
      <sz val="8"/>
      <color theme="0"/>
      <name val="Arial"/>
      <family val="2"/>
    </font>
    <font>
      <b/>
      <sz val="8"/>
      <color theme="1"/>
      <name val="Arial"/>
      <family val="2"/>
    </font>
    <font>
      <sz val="8"/>
      <color theme="0"/>
      <name val="Arial"/>
      <family val="2"/>
    </font>
    <font>
      <b/>
      <sz val="10"/>
      <color theme="1"/>
      <name val="Arial"/>
      <family val="2"/>
    </font>
    <font>
      <sz val="8"/>
      <name val="Arial"/>
      <family val="2"/>
    </font>
    <font>
      <b/>
      <i/>
      <sz val="8"/>
      <color theme="9"/>
      <name val="Arial"/>
      <family val="2"/>
    </font>
    <font>
      <i/>
      <sz val="8"/>
      <color theme="1" tint="0.499984740745262"/>
      <name val="Arial"/>
      <family val="2"/>
    </font>
    <font>
      <i/>
      <sz val="8"/>
      <color rgb="FF717171"/>
      <name val="Arial"/>
      <family val="2"/>
    </font>
    <font>
      <sz val="8"/>
      <color theme="1"/>
      <name val="Symbol"/>
      <family val="1"/>
      <charset val="2"/>
    </font>
    <font>
      <b/>
      <sz val="8"/>
      <name val="Arial"/>
      <family val="2"/>
    </font>
    <font>
      <sz val="10"/>
      <name val="Arial"/>
      <family val="2"/>
    </font>
    <font>
      <sz val="11"/>
      <color theme="1"/>
      <name val="Calibri"/>
      <family val="2"/>
      <scheme val="minor"/>
    </font>
    <font>
      <i/>
      <sz val="8"/>
      <color theme="0" tint="-0.499984740745262"/>
      <name val="Arial"/>
      <family val="2"/>
    </font>
    <font>
      <sz val="10"/>
      <name val="Arial"/>
      <family val="2"/>
    </font>
    <font>
      <i/>
      <sz val="8"/>
      <color theme="0" tint="-0.14999847407452621"/>
      <name val="Arial"/>
      <family val="2"/>
    </font>
    <font>
      <sz val="8"/>
      <color theme="1" tint="-0.249977111117893"/>
      <name val="Arial"/>
      <family val="2"/>
    </font>
    <font>
      <sz val="8"/>
      <color theme="1" tint="-0.499984740745262"/>
      <name val="Arial"/>
      <family val="2"/>
    </font>
    <font>
      <i/>
      <sz val="7.5"/>
      <color theme="1"/>
      <name val="Arial"/>
      <family val="2"/>
    </font>
    <font>
      <b/>
      <sz val="8"/>
      <color theme="1" tint="-0.499984740745262"/>
      <name val="Arial"/>
      <family val="2"/>
    </font>
    <font>
      <u/>
      <sz val="8"/>
      <color theme="1"/>
      <name val="Arial"/>
      <family val="2"/>
    </font>
    <font>
      <i/>
      <sz val="8"/>
      <color theme="1" tint="-0.499984740745262"/>
      <name val="Arial"/>
      <family val="2"/>
    </font>
    <font>
      <i/>
      <sz val="8"/>
      <color theme="0"/>
      <name val="Arial"/>
      <family val="2"/>
    </font>
    <font>
      <sz val="8"/>
      <color theme="0" tint="-0.499984740745262"/>
      <name val="Arial"/>
      <family val="2"/>
    </font>
    <font>
      <i/>
      <sz val="8"/>
      <color theme="9" tint="-0.749992370372631"/>
      <name val="Arial"/>
      <family val="2"/>
    </font>
    <font>
      <b/>
      <i/>
      <sz val="8"/>
      <color rgb="FFFF0000"/>
      <name val="Arial"/>
      <family val="2"/>
    </font>
    <font>
      <i/>
      <sz val="8"/>
      <name val="Arial"/>
      <family val="2"/>
    </font>
    <font>
      <sz val="16"/>
      <color theme="1"/>
      <name val="Arial"/>
      <family val="2"/>
    </font>
    <font>
      <i/>
      <sz val="7"/>
      <color theme="1"/>
      <name val="Arial"/>
      <family val="2"/>
    </font>
    <font>
      <u/>
      <sz val="16"/>
      <color theme="1"/>
      <name val="Arial"/>
      <family val="2"/>
    </font>
    <font>
      <i/>
      <sz val="8"/>
      <color theme="2" tint="-0.249977111117893"/>
      <name val="Arial"/>
      <family val="2"/>
    </font>
    <font>
      <b/>
      <sz val="14"/>
      <color theme="0"/>
      <name val="Arial"/>
      <family val="2"/>
    </font>
    <font>
      <b/>
      <sz val="8"/>
      <color rgb="FFFF0000"/>
      <name val="Arial"/>
      <family val="2"/>
    </font>
    <font>
      <b/>
      <sz val="16"/>
      <color theme="0" tint="-0.499984740745262"/>
      <name val="Arial"/>
      <family val="2"/>
    </font>
    <font>
      <i/>
      <sz val="7"/>
      <color theme="1" tint="0.249977111117893"/>
      <name val="Arial"/>
      <family val="2"/>
    </font>
    <font>
      <i/>
      <sz val="7"/>
      <name val="Arial"/>
      <family val="2"/>
    </font>
    <font>
      <vertAlign val="superscript"/>
      <sz val="8"/>
      <color theme="1"/>
      <name val="Arial"/>
      <family val="2"/>
    </font>
    <font>
      <b/>
      <sz val="9"/>
      <color theme="0"/>
      <name val="Arial"/>
      <family val="2"/>
    </font>
    <font>
      <b/>
      <sz val="9"/>
      <color theme="1"/>
      <name val="Arial"/>
      <family val="2"/>
    </font>
    <font>
      <sz val="9"/>
      <name val="Arial"/>
      <family val="2"/>
    </font>
    <font>
      <b/>
      <sz val="11"/>
      <color theme="0"/>
      <name val="Arial"/>
      <family val="2"/>
    </font>
    <font>
      <b/>
      <sz val="9"/>
      <color indexed="81"/>
      <name val="Tahoma"/>
      <family val="2"/>
    </font>
    <font>
      <sz val="9"/>
      <color indexed="81"/>
      <name val="Tahoma"/>
      <family val="2"/>
    </font>
    <font>
      <b/>
      <sz val="9"/>
      <name val="Arial"/>
      <family val="2"/>
    </font>
    <font>
      <b/>
      <sz val="8"/>
      <color theme="8"/>
      <name val="Arial"/>
      <family val="2"/>
    </font>
    <font>
      <sz val="8"/>
      <color indexed="9"/>
      <name val="Arial"/>
      <family val="2"/>
    </font>
    <font>
      <sz val="2"/>
      <color indexed="9"/>
      <name val="Arial"/>
      <family val="2"/>
    </font>
    <font>
      <i/>
      <sz val="8"/>
      <color rgb="FF4D758C"/>
      <name val="Arial"/>
      <family val="2"/>
    </font>
    <font>
      <b/>
      <i/>
      <sz val="8"/>
      <color theme="3" tint="0.39997558519241921"/>
      <name val="Arial"/>
      <family val="2"/>
    </font>
    <font>
      <i/>
      <sz val="8"/>
      <color theme="8"/>
      <name val="Arial"/>
      <family val="2"/>
    </font>
    <font>
      <sz val="7"/>
      <color theme="1" tint="-0.499984740745262"/>
      <name val="Arial"/>
      <family val="2"/>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8"/>
        <bgColor indexed="64"/>
      </patternFill>
    </fill>
    <fill>
      <patternFill patternType="solid">
        <fgColor theme="9" tint="-0.499984740745262"/>
        <bgColor indexed="64"/>
      </patternFill>
    </fill>
    <fill>
      <patternFill patternType="solid">
        <fgColor theme="9" tint="-0.749992370372631"/>
        <bgColor indexed="64"/>
      </patternFill>
    </fill>
    <fill>
      <patternFill patternType="solid">
        <fgColor theme="0" tint="-0.34998626667073579"/>
        <bgColor indexed="64"/>
      </patternFill>
    </fill>
    <fill>
      <patternFill patternType="solid">
        <fgColor theme="7"/>
        <bgColor indexed="64"/>
      </patternFill>
    </fill>
    <fill>
      <patternFill patternType="solid">
        <fgColor theme="3"/>
        <bgColor indexed="64"/>
      </patternFill>
    </fill>
    <fill>
      <patternFill patternType="solid">
        <fgColor theme="9" tint="-0.249977111117893"/>
        <bgColor indexed="64"/>
      </patternFill>
    </fill>
    <fill>
      <patternFill patternType="solid">
        <fgColor theme="1" tint="0.249977111117893"/>
        <bgColor indexed="64"/>
      </patternFill>
    </fill>
    <fill>
      <patternFill patternType="solid">
        <fgColor theme="2" tint="0.79998168889431442"/>
        <bgColor indexed="64"/>
      </patternFill>
    </fill>
    <fill>
      <patternFill patternType="solid">
        <fgColor theme="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FF99"/>
        <bgColor indexed="64"/>
      </patternFill>
    </fill>
    <fill>
      <patternFill patternType="solid">
        <fgColor theme="4" tint="0.39997558519241921"/>
        <bgColor indexed="64"/>
      </patternFill>
    </fill>
    <fill>
      <patternFill patternType="lightGray">
        <bgColor theme="0"/>
      </patternFill>
    </fill>
    <fill>
      <patternFill patternType="solid">
        <fgColor theme="4"/>
        <bgColor indexed="64"/>
      </patternFill>
    </fill>
    <fill>
      <patternFill patternType="solid">
        <fgColor theme="1" tint="0.14999847407452621"/>
        <bgColor indexed="64"/>
      </patternFill>
    </fill>
    <fill>
      <patternFill patternType="solid">
        <fgColor rgb="FFD2D6EA"/>
        <bgColor indexed="64"/>
      </patternFill>
    </fill>
    <fill>
      <patternFill patternType="solid">
        <fgColor theme="2" tint="-9.9978637043366805E-2"/>
        <bgColor theme="2" tint="-9.9978637043366805E-2"/>
      </patternFill>
    </fill>
    <fill>
      <patternFill patternType="solid">
        <fgColor theme="0"/>
        <bgColor theme="0"/>
      </patternFill>
    </fill>
    <fill>
      <patternFill patternType="lightGray">
        <fgColor theme="2" tint="-9.9978637043366805E-2"/>
        <bgColor theme="2" tint="-9.9978637043366805E-2"/>
      </patternFill>
    </fill>
    <fill>
      <patternFill patternType="solid">
        <fgColor theme="4" tint="0.39997558519241921"/>
        <bgColor theme="4" tint="0.39997558519241921"/>
      </patternFill>
    </fill>
    <fill>
      <patternFill patternType="solid">
        <fgColor theme="9" tint="0.39997558519241921"/>
        <bgColor theme="9" tint="0.39997558519241921"/>
      </patternFill>
    </fill>
    <fill>
      <patternFill patternType="solid">
        <fgColor theme="7" tint="0.39997558519241921"/>
        <bgColor theme="7" tint="0.39997558519241921"/>
      </patternFill>
    </fill>
    <fill>
      <patternFill patternType="solid">
        <fgColor theme="0" tint="-0.14999847407452621"/>
        <bgColor theme="0" tint="-0.14999847407452621"/>
      </patternFill>
    </fill>
    <fill>
      <patternFill patternType="solid">
        <fgColor theme="4" tint="-0.249977111117893"/>
        <bgColor theme="4" tint="-0.249977111117893"/>
      </patternFill>
    </fill>
    <fill>
      <patternFill patternType="solid">
        <fgColor indexed="5"/>
        <bgColor indexed="5"/>
      </patternFill>
    </fill>
    <fill>
      <patternFill patternType="solid">
        <fgColor theme="3" tint="0.39997558519241921"/>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8"/>
      </left>
      <right style="thin">
        <color theme="8"/>
      </right>
      <top style="thin">
        <color theme="8"/>
      </top>
      <bottom style="thin">
        <color theme="8"/>
      </bottom>
      <diagonal/>
    </border>
    <border>
      <left/>
      <right/>
      <top/>
      <bottom style="thin">
        <color theme="0" tint="-0.24994659260841701"/>
      </bottom>
      <diagonal/>
    </border>
    <border>
      <left/>
      <right/>
      <top style="thin">
        <color theme="0" tint="-0.24994659260841701"/>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9" tint="-0.499984740745262"/>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indexed="64"/>
      </right>
      <top/>
      <bottom style="thin">
        <color theme="0"/>
      </bottom>
      <diagonal/>
    </border>
    <border>
      <left style="thin">
        <color indexed="64"/>
      </left>
      <right style="thin">
        <color indexed="64"/>
      </right>
      <top/>
      <bottom/>
      <diagonal/>
    </border>
    <border>
      <left style="thin">
        <color theme="0"/>
      </left>
      <right style="thin">
        <color indexed="64"/>
      </right>
      <top style="thin">
        <color theme="0"/>
      </top>
      <bottom/>
      <diagonal/>
    </border>
    <border>
      <left style="thin">
        <color theme="0"/>
      </left>
      <right/>
      <top/>
      <bottom style="thin">
        <color theme="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top style="thin">
        <color theme="0"/>
      </top>
      <bottom style="medium">
        <color indexed="64"/>
      </bottom>
      <diagonal/>
    </border>
    <border>
      <left style="thin">
        <color theme="0"/>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s>
  <cellStyleXfs count="20">
    <xf numFmtId="0" fontId="0" fillId="0" borderId="0"/>
    <xf numFmtId="9" fontId="9" fillId="0" borderId="0" applyFont="0" applyFill="0" applyBorder="0" applyAlignment="0" applyProtection="0"/>
    <xf numFmtId="0" fontId="20" fillId="0" borderId="0"/>
    <xf numFmtId="9" fontId="21" fillId="0" borderId="0" applyFont="0" applyFill="0" applyBorder="0" applyAlignment="0" applyProtection="0"/>
    <xf numFmtId="164" fontId="20" fillId="0" borderId="0" applyFont="0" applyFill="0" applyBorder="0" applyAlignment="0" applyProtection="0"/>
    <xf numFmtId="0" fontId="21" fillId="0" borderId="0"/>
    <xf numFmtId="0" fontId="23" fillId="0" borderId="0"/>
    <xf numFmtId="0" fontId="20" fillId="0" borderId="0"/>
    <xf numFmtId="164" fontId="20" fillId="0" borderId="0" applyFont="0" applyFill="0" applyBorder="0" applyAlignment="0" applyProtection="0"/>
    <xf numFmtId="0" fontId="20" fillId="0" borderId="0"/>
    <xf numFmtId="9" fontId="20" fillId="0" borderId="0" applyFont="0" applyFill="0" applyBorder="0" applyAlignment="0" applyProtection="0"/>
    <xf numFmtId="0" fontId="8" fillId="0" borderId="0"/>
    <xf numFmtId="0" fontId="21"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cellStyleXfs>
  <cellXfs count="288">
    <xf numFmtId="0" fontId="0" fillId="0" borderId="0" xfId="0"/>
    <xf numFmtId="0" fontId="0" fillId="2" borderId="0" xfId="0" applyFill="1"/>
    <xf numFmtId="0" fontId="0" fillId="2" borderId="0" xfId="0" applyFill="1" applyAlignment="1" applyProtection="1">
      <alignment vertical="center"/>
      <protection hidden="1"/>
    </xf>
    <xf numFmtId="0" fontId="0" fillId="2" borderId="0" xfId="0" applyFill="1" applyProtection="1">
      <protection hidden="1"/>
    </xf>
    <xf numFmtId="0" fontId="0" fillId="2" borderId="0" xfId="0" applyFill="1" applyBorder="1" applyProtection="1">
      <protection hidden="1"/>
    </xf>
    <xf numFmtId="9" fontId="26" fillId="3" borderId="1" xfId="0" applyNumberFormat="1" applyFont="1" applyFill="1" applyBorder="1" applyAlignment="1">
      <alignment horizontal="center"/>
    </xf>
    <xf numFmtId="0" fontId="26" fillId="3" borderId="0" xfId="0" applyFont="1" applyFill="1" applyAlignment="1">
      <alignment horizontal="center"/>
    </xf>
    <xf numFmtId="14" fontId="26" fillId="3" borderId="0" xfId="0" applyNumberFormat="1" applyFont="1" applyFill="1" applyAlignment="1">
      <alignment horizontal="center"/>
    </xf>
    <xf numFmtId="168" fontId="26" fillId="2" borderId="0" xfId="0" applyNumberFormat="1" applyFont="1" applyFill="1" applyAlignment="1">
      <alignment horizontal="center"/>
    </xf>
    <xf numFmtId="165" fontId="26" fillId="3" borderId="0" xfId="0" applyNumberFormat="1" applyFont="1" applyFill="1" applyAlignment="1">
      <alignment horizontal="center"/>
    </xf>
    <xf numFmtId="165" fontId="26" fillId="3" borderId="2" xfId="0" applyNumberFormat="1" applyFont="1" applyFill="1" applyBorder="1" applyAlignment="1">
      <alignment horizontal="center"/>
    </xf>
    <xf numFmtId="9" fontId="26" fillId="3" borderId="4" xfId="0" applyNumberFormat="1" applyFont="1" applyFill="1" applyBorder="1" applyAlignment="1">
      <alignment horizontal="center"/>
    </xf>
    <xf numFmtId="165" fontId="26" fillId="2" borderId="2" xfId="0" applyNumberFormat="1" applyFont="1" applyFill="1" applyBorder="1" applyAlignment="1">
      <alignment horizontal="center"/>
    </xf>
    <xf numFmtId="165" fontId="28" fillId="2" borderId="2" xfId="0" applyNumberFormat="1" applyFont="1" applyFill="1" applyBorder="1" applyAlignment="1">
      <alignment horizontal="center"/>
    </xf>
    <xf numFmtId="0" fontId="13" fillId="2" borderId="0" xfId="0" applyFont="1" applyFill="1" applyBorder="1" applyProtection="1">
      <protection hidden="1"/>
    </xf>
    <xf numFmtId="0" fontId="26" fillId="2" borderId="0" xfId="0" applyFont="1" applyFill="1" applyAlignment="1" applyProtection="1">
      <protection hidden="1"/>
    </xf>
    <xf numFmtId="0" fontId="26" fillId="2" borderId="0" xfId="0" applyFont="1" applyFill="1" applyProtection="1">
      <protection hidden="1"/>
    </xf>
    <xf numFmtId="0" fontId="25" fillId="2" borderId="0" xfId="0" applyFont="1" applyFill="1" applyAlignment="1" applyProtection="1">
      <alignment vertical="center" wrapText="1"/>
      <protection hidden="1"/>
    </xf>
    <xf numFmtId="0" fontId="16" fillId="2" borderId="0" xfId="0" applyFont="1" applyFill="1" applyProtection="1">
      <protection hidden="1"/>
    </xf>
    <xf numFmtId="165" fontId="16" fillId="2" borderId="0" xfId="0" applyNumberFormat="1" applyFont="1" applyFill="1" applyProtection="1">
      <protection hidden="1"/>
    </xf>
    <xf numFmtId="165" fontId="16" fillId="2" borderId="0" xfId="0" applyNumberFormat="1" applyFont="1" applyFill="1" applyBorder="1" applyProtection="1">
      <protection hidden="1"/>
    </xf>
    <xf numFmtId="0" fontId="17" fillId="2" borderId="0" xfId="0" applyFont="1" applyFill="1" applyProtection="1">
      <protection hidden="1"/>
    </xf>
    <xf numFmtId="0" fontId="18" fillId="2" borderId="0" xfId="0" applyFont="1" applyFill="1" applyProtection="1">
      <protection hidden="1"/>
    </xf>
    <xf numFmtId="0" fontId="24" fillId="2" borderId="0" xfId="0" applyFont="1" applyFill="1" applyProtection="1">
      <protection hidden="1"/>
    </xf>
    <xf numFmtId="0" fontId="16" fillId="2" borderId="0" xfId="0" applyFont="1" applyFill="1" applyBorder="1" applyProtection="1">
      <protection hidden="1"/>
    </xf>
    <xf numFmtId="0" fontId="30" fillId="2" borderId="0" xfId="0" applyFont="1" applyFill="1" applyProtection="1">
      <protection hidden="1"/>
    </xf>
    <xf numFmtId="9" fontId="22" fillId="2" borderId="0" xfId="1" applyFont="1" applyFill="1" applyAlignment="1" applyProtection="1">
      <alignment horizontal="center"/>
      <protection hidden="1"/>
    </xf>
    <xf numFmtId="9" fontId="16" fillId="2" borderId="0" xfId="0" applyNumberFormat="1" applyFont="1" applyFill="1" applyAlignment="1" applyProtection="1">
      <alignment horizontal="center"/>
      <protection hidden="1"/>
    </xf>
    <xf numFmtId="0" fontId="28" fillId="2" borderId="0" xfId="0" applyFont="1" applyFill="1" applyProtection="1">
      <protection hidden="1"/>
    </xf>
    <xf numFmtId="0" fontId="10" fillId="2" borderId="0" xfId="0" applyFont="1" applyFill="1" applyProtection="1">
      <protection hidden="1"/>
    </xf>
    <xf numFmtId="0" fontId="31" fillId="2" borderId="0" xfId="0" applyFont="1" applyFill="1" applyProtection="1">
      <protection hidden="1"/>
    </xf>
    <xf numFmtId="0" fontId="22" fillId="2" borderId="0" xfId="0" applyFont="1" applyFill="1" applyProtection="1">
      <protection hidden="1"/>
    </xf>
    <xf numFmtId="0" fontId="32" fillId="2" borderId="0" xfId="0" applyFont="1" applyFill="1" applyProtection="1">
      <protection hidden="1"/>
    </xf>
    <xf numFmtId="0" fontId="33" fillId="2" borderId="0" xfId="0" applyFont="1" applyFill="1" applyProtection="1">
      <protection hidden="1"/>
    </xf>
    <xf numFmtId="166" fontId="34" fillId="2" borderId="0" xfId="1" applyNumberFormat="1" applyFont="1" applyFill="1" applyAlignment="1" applyProtection="1">
      <alignment horizontal="center"/>
      <protection hidden="1"/>
    </xf>
    <xf numFmtId="0" fontId="19" fillId="4" borderId="0" xfId="0" applyFont="1" applyFill="1" applyProtection="1">
      <protection hidden="1"/>
    </xf>
    <xf numFmtId="0" fontId="35" fillId="4" borderId="0" xfId="0" applyFont="1" applyFill="1" applyProtection="1">
      <protection hidden="1"/>
    </xf>
    <xf numFmtId="0" fontId="26" fillId="2" borderId="0" xfId="0" applyFont="1" applyFill="1"/>
    <xf numFmtId="0" fontId="26" fillId="2" borderId="0" xfId="0" applyFont="1" applyFill="1" applyAlignment="1">
      <alignment horizontal="center"/>
    </xf>
    <xf numFmtId="2" fontId="26" fillId="2" borderId="0" xfId="0" applyNumberFormat="1" applyFont="1" applyFill="1" applyAlignment="1">
      <alignment horizontal="center"/>
    </xf>
    <xf numFmtId="0" fontId="28" fillId="2" borderId="0" xfId="0" applyFont="1" applyFill="1"/>
    <xf numFmtId="0" fontId="12" fillId="8" borderId="1" xfId="0" applyFont="1" applyFill="1" applyBorder="1"/>
    <xf numFmtId="0" fontId="12" fillId="8" borderId="0" xfId="0" applyFont="1" applyFill="1"/>
    <xf numFmtId="0" fontId="12" fillId="8" borderId="2" xfId="0" applyFont="1" applyFill="1" applyBorder="1" applyAlignment="1">
      <alignment horizontal="center"/>
    </xf>
    <xf numFmtId="0" fontId="12" fillId="8" borderId="4" xfId="0" applyFont="1" applyFill="1" applyBorder="1" applyAlignment="1">
      <alignment horizontal="center"/>
    </xf>
    <xf numFmtId="0" fontId="12" fillId="9" borderId="2" xfId="0" applyFont="1" applyFill="1" applyBorder="1" applyAlignment="1">
      <alignment horizontal="center"/>
    </xf>
    <xf numFmtId="0" fontId="36" fillId="2" borderId="0" xfId="0" applyFont="1" applyFill="1" applyAlignment="1" applyProtection="1">
      <alignment vertical="center"/>
      <protection hidden="1"/>
    </xf>
    <xf numFmtId="0" fontId="0" fillId="2" borderId="0" xfId="0" applyFill="1" applyAlignment="1" applyProtection="1">
      <alignment horizontal="right" vertical="center"/>
      <protection hidden="1"/>
    </xf>
    <xf numFmtId="0" fontId="38" fillId="2" borderId="0" xfId="0" applyFont="1" applyFill="1" applyAlignment="1" applyProtection="1">
      <alignment vertical="center"/>
      <protection hidden="1"/>
    </xf>
    <xf numFmtId="0" fontId="29" fillId="2" borderId="0" xfId="0" applyFont="1" applyFill="1" applyProtection="1">
      <protection hidden="1"/>
    </xf>
    <xf numFmtId="165" fontId="19" fillId="2" borderId="0" xfId="0" applyNumberFormat="1" applyFont="1" applyFill="1" applyBorder="1" applyAlignment="1" applyProtection="1">
      <alignment horizontal="center"/>
      <protection hidden="1"/>
    </xf>
    <xf numFmtId="0" fontId="37" fillId="2" borderId="0" xfId="0" applyFont="1" applyFill="1" applyAlignment="1" applyProtection="1">
      <alignment vertical="center"/>
      <protection hidden="1"/>
    </xf>
    <xf numFmtId="9" fontId="19" fillId="2" borderId="0" xfId="0" applyNumberFormat="1" applyFont="1" applyFill="1" applyBorder="1" applyAlignment="1" applyProtection="1">
      <alignment horizontal="center" vertical="center"/>
      <protection hidden="1"/>
    </xf>
    <xf numFmtId="0" fontId="40" fillId="11" borderId="0" xfId="0" applyFont="1" applyFill="1" applyBorder="1" applyAlignment="1" applyProtection="1">
      <alignment vertical="center"/>
      <protection hidden="1"/>
    </xf>
    <xf numFmtId="0" fontId="40" fillId="11" borderId="0" xfId="0" applyFont="1" applyFill="1" applyBorder="1" applyProtection="1">
      <protection hidden="1"/>
    </xf>
    <xf numFmtId="0" fontId="14" fillId="2" borderId="0" xfId="0" applyFont="1" applyFill="1" applyBorder="1" applyAlignment="1" applyProtection="1">
      <alignment vertical="center"/>
      <protection hidden="1"/>
    </xf>
    <xf numFmtId="0" fontId="38" fillId="2" borderId="0" xfId="0" applyFont="1" applyFill="1" applyAlignment="1" applyProtection="1">
      <alignment vertical="center"/>
      <protection locked="0" hidden="1"/>
    </xf>
    <xf numFmtId="0" fontId="36" fillId="2" borderId="0" xfId="0" applyFont="1" applyFill="1" applyAlignment="1" applyProtection="1">
      <alignment horizontal="left" vertical="center"/>
      <protection hidden="1"/>
    </xf>
    <xf numFmtId="0" fontId="0" fillId="2" borderId="0" xfId="0" applyFill="1" applyAlignment="1" applyProtection="1">
      <alignment horizontal="center"/>
      <protection hidden="1"/>
    </xf>
    <xf numFmtId="165" fontId="11" fillId="2" borderId="0" xfId="0" applyNumberFormat="1" applyFont="1" applyFill="1" applyBorder="1" applyAlignment="1" applyProtection="1">
      <alignment horizontal="center" vertical="center"/>
      <protection hidden="1"/>
    </xf>
    <xf numFmtId="0" fontId="0" fillId="2" borderId="0" xfId="0" applyFill="1" applyAlignment="1" applyProtection="1">
      <alignment horizontal="right"/>
      <protection hidden="1"/>
    </xf>
    <xf numFmtId="0" fontId="10" fillId="2" borderId="0" xfId="0" applyFont="1" applyFill="1" applyBorder="1" applyAlignment="1" applyProtection="1">
      <alignment vertical="center" wrapText="1"/>
      <protection hidden="1"/>
    </xf>
    <xf numFmtId="0" fontId="42" fillId="2" borderId="0" xfId="0" applyFont="1" applyFill="1" applyAlignment="1" applyProtection="1">
      <alignment horizontal="center" vertical="center"/>
      <protection hidden="1"/>
    </xf>
    <xf numFmtId="0" fontId="0" fillId="2" borderId="0" xfId="0" applyFont="1" applyFill="1" applyAlignment="1" applyProtection="1">
      <alignment vertical="center"/>
      <protection hidden="1"/>
    </xf>
    <xf numFmtId="0" fontId="10" fillId="2" borderId="0" xfId="0" applyFont="1" applyFill="1" applyBorder="1" applyAlignment="1" applyProtection="1">
      <alignment horizontal="left" vertical="center" wrapText="1"/>
      <protection hidden="1"/>
    </xf>
    <xf numFmtId="0" fontId="30" fillId="2" borderId="7" xfId="0" applyFont="1" applyFill="1" applyBorder="1" applyAlignment="1" applyProtection="1">
      <alignment horizontal="left" vertical="center"/>
      <protection hidden="1"/>
    </xf>
    <xf numFmtId="0" fontId="0" fillId="2" borderId="7" xfId="0" applyFill="1" applyBorder="1" applyProtection="1">
      <protection hidden="1"/>
    </xf>
    <xf numFmtId="0" fontId="16" fillId="2" borderId="8" xfId="0" applyFont="1" applyFill="1" applyBorder="1" applyProtection="1">
      <protection hidden="1"/>
    </xf>
    <xf numFmtId="0" fontId="0" fillId="2" borderId="8" xfId="0" applyFill="1" applyBorder="1" applyProtection="1">
      <protection hidden="1"/>
    </xf>
    <xf numFmtId="0" fontId="0" fillId="2" borderId="0" xfId="0" applyFont="1" applyFill="1" applyBorder="1" applyAlignment="1" applyProtection="1">
      <alignment vertical="center"/>
      <protection hidden="1"/>
    </xf>
    <xf numFmtId="0" fontId="24" fillId="2" borderId="0" xfId="0" applyFont="1" applyFill="1" applyBorder="1" applyProtection="1">
      <protection hidden="1"/>
    </xf>
    <xf numFmtId="0" fontId="0" fillId="2" borderId="8" xfId="0" applyFill="1" applyBorder="1" applyAlignment="1" applyProtection="1">
      <alignment horizontal="center"/>
      <protection hidden="1"/>
    </xf>
    <xf numFmtId="9" fontId="16" fillId="2" borderId="8" xfId="0" applyNumberFormat="1" applyFont="1" applyFill="1" applyBorder="1" applyAlignment="1" applyProtection="1">
      <alignment horizontal="center"/>
      <protection hidden="1"/>
    </xf>
    <xf numFmtId="9" fontId="19" fillId="2" borderId="8" xfId="0" applyNumberFormat="1" applyFont="1" applyFill="1" applyBorder="1" applyAlignment="1" applyProtection="1">
      <alignment horizontal="center" vertical="center"/>
      <protection hidden="1"/>
    </xf>
    <xf numFmtId="165" fontId="14" fillId="2" borderId="0" xfId="0" applyNumberFormat="1" applyFont="1" applyFill="1" applyBorder="1" applyAlignment="1" applyProtection="1">
      <alignment horizontal="center" vertical="center"/>
      <protection hidden="1"/>
    </xf>
    <xf numFmtId="169" fontId="11" fillId="2" borderId="0" xfId="0" applyNumberFormat="1" applyFont="1" applyFill="1" applyBorder="1" applyAlignment="1" applyProtection="1">
      <alignment horizontal="center" vertical="center"/>
      <protection hidden="1"/>
    </xf>
    <xf numFmtId="0" fontId="39" fillId="2" borderId="0" xfId="0" applyFont="1" applyFill="1" applyAlignment="1" applyProtection="1">
      <alignment vertical="top" wrapText="1"/>
      <protection hidden="1"/>
    </xf>
    <xf numFmtId="0" fontId="14" fillId="14" borderId="0" xfId="0" applyNumberFormat="1" applyFont="1" applyFill="1" applyAlignment="1">
      <alignment horizontal="center"/>
    </xf>
    <xf numFmtId="2" fontId="14" fillId="14" borderId="0" xfId="0" applyNumberFormat="1" applyFont="1" applyFill="1" applyAlignment="1">
      <alignment horizontal="center"/>
    </xf>
    <xf numFmtId="2" fontId="14" fillId="14" borderId="1" xfId="0" applyNumberFormat="1" applyFont="1" applyFill="1" applyBorder="1" applyAlignment="1">
      <alignment horizontal="center"/>
    </xf>
    <xf numFmtId="49" fontId="10" fillId="10" borderId="0" xfId="0" applyNumberFormat="1" applyFont="1" applyFill="1" applyAlignment="1">
      <alignment horizontal="center"/>
    </xf>
    <xf numFmtId="0" fontId="10" fillId="13" borderId="17" xfId="0" applyFont="1" applyFill="1" applyBorder="1" applyAlignment="1">
      <alignment horizontal="center" vertical="center" wrapText="1"/>
    </xf>
    <xf numFmtId="0" fontId="0" fillId="2" borderId="0" xfId="12" applyFont="1" applyFill="1" applyAlignment="1">
      <alignment horizontal="left" vertical="center"/>
    </xf>
    <xf numFmtId="49" fontId="10" fillId="13" borderId="15" xfId="0"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0" fontId="0" fillId="2" borderId="0" xfId="0" applyFont="1" applyFill="1" applyAlignment="1">
      <alignment wrapText="1"/>
    </xf>
    <xf numFmtId="0" fontId="14" fillId="4" borderId="0" xfId="0" applyFont="1" applyFill="1" applyAlignment="1">
      <alignment horizontal="left" vertical="center"/>
    </xf>
    <xf numFmtId="0" fontId="0" fillId="2" borderId="0" xfId="0" applyFont="1" applyFill="1" applyAlignment="1">
      <alignment horizontal="center"/>
    </xf>
    <xf numFmtId="0" fontId="0" fillId="2" borderId="0" xfId="0" applyFont="1" applyFill="1"/>
    <xf numFmtId="0" fontId="0" fillId="0" borderId="0" xfId="12" applyFont="1" applyAlignment="1">
      <alignment horizontal="left" vertical="center"/>
    </xf>
    <xf numFmtId="0" fontId="0" fillId="15" borderId="0" xfId="0" applyFont="1" applyFill="1" applyAlignment="1">
      <alignment horizontal="center"/>
    </xf>
    <xf numFmtId="0" fontId="10" fillId="13" borderId="2" xfId="0" applyFont="1" applyFill="1" applyBorder="1" applyAlignment="1">
      <alignment horizontal="center" vertical="center" wrapText="1"/>
    </xf>
    <xf numFmtId="0" fontId="0" fillId="2" borderId="18" xfId="12" applyFont="1" applyFill="1" applyBorder="1" applyAlignment="1">
      <alignment horizontal="left" vertical="center"/>
    </xf>
    <xf numFmtId="0" fontId="11" fillId="3" borderId="19" xfId="0" applyFont="1" applyFill="1" applyBorder="1" applyAlignment="1">
      <alignment horizontal="center"/>
    </xf>
    <xf numFmtId="0" fontId="0" fillId="2" borderId="18" xfId="0" applyFont="1" applyFill="1" applyBorder="1" applyAlignment="1">
      <alignment horizontal="left"/>
    </xf>
    <xf numFmtId="0" fontId="0" fillId="2" borderId="20" xfId="0" applyFont="1" applyFill="1" applyBorder="1" applyAlignment="1">
      <alignment horizontal="left"/>
    </xf>
    <xf numFmtId="0" fontId="11" fillId="3" borderId="21" xfId="0" applyFont="1" applyFill="1" applyBorder="1" applyAlignment="1">
      <alignment horizontal="center"/>
    </xf>
    <xf numFmtId="0" fontId="28" fillId="2" borderId="0" xfId="0" applyFont="1" applyFill="1" applyAlignment="1" applyProtection="1">
      <alignment horizontal="left" vertical="center" wrapText="1"/>
      <protection hidden="1"/>
    </xf>
    <xf numFmtId="0" fontId="44" fillId="2" borderId="0" xfId="0" applyFont="1" applyFill="1" applyAlignment="1" applyProtection="1">
      <alignment vertical="center" wrapText="1"/>
      <protection hidden="1"/>
    </xf>
    <xf numFmtId="0" fontId="10" fillId="2" borderId="0" xfId="0" applyFont="1" applyFill="1" applyAlignment="1" applyProtection="1">
      <alignment horizontal="left" vertical="center" wrapText="1"/>
      <protection hidden="1"/>
    </xf>
    <xf numFmtId="169" fontId="41" fillId="2" borderId="0" xfId="0" applyNumberFormat="1" applyFont="1" applyFill="1" applyAlignment="1" applyProtection="1">
      <alignment horizontal="center" vertical="center"/>
      <protection hidden="1"/>
    </xf>
    <xf numFmtId="9" fontId="19" fillId="2" borderId="0" xfId="0" applyNumberFormat="1" applyFont="1" applyFill="1" applyAlignment="1" applyProtection="1">
      <alignment horizontal="center" vertical="center"/>
      <protection hidden="1"/>
    </xf>
    <xf numFmtId="0" fontId="10" fillId="2" borderId="22" xfId="0" applyFont="1" applyFill="1" applyBorder="1" applyAlignment="1" applyProtection="1">
      <alignment horizontal="left" vertical="center" wrapText="1"/>
      <protection hidden="1"/>
    </xf>
    <xf numFmtId="171" fontId="11" fillId="2" borderId="0" xfId="0" applyNumberFormat="1" applyFont="1" applyFill="1" applyBorder="1" applyAlignment="1" applyProtection="1">
      <alignment horizontal="center" vertical="center"/>
      <protection hidden="1"/>
    </xf>
    <xf numFmtId="171" fontId="19" fillId="2" borderId="0" xfId="0" applyNumberFormat="1" applyFont="1" applyFill="1" applyBorder="1" applyAlignment="1" applyProtection="1">
      <alignment horizontal="center" vertical="center"/>
      <protection hidden="1"/>
    </xf>
    <xf numFmtId="169" fontId="19" fillId="2" borderId="0" xfId="0" applyNumberFormat="1" applyFont="1" applyFill="1" applyBorder="1" applyAlignment="1" applyProtection="1">
      <alignment horizontal="center" vertical="center"/>
      <protection hidden="1"/>
    </xf>
    <xf numFmtId="172" fontId="11" fillId="2" borderId="0" xfId="0" applyNumberFormat="1" applyFont="1" applyFill="1" applyBorder="1" applyAlignment="1" applyProtection="1">
      <alignment horizontal="center" vertical="center"/>
      <protection hidden="1"/>
    </xf>
    <xf numFmtId="170" fontId="11" fillId="2" borderId="0" xfId="0" applyNumberFormat="1" applyFont="1" applyFill="1" applyBorder="1" applyAlignment="1" applyProtection="1">
      <alignment horizontal="center" vertical="center"/>
      <protection hidden="1"/>
    </xf>
    <xf numFmtId="9" fontId="16" fillId="2" borderId="0" xfId="0" applyNumberFormat="1" applyFont="1" applyFill="1" applyBorder="1" applyAlignment="1" applyProtection="1">
      <alignment horizontal="center"/>
      <protection hidden="1"/>
    </xf>
    <xf numFmtId="0" fontId="44" fillId="2" borderId="0" xfId="0" applyFont="1" applyFill="1" applyAlignment="1" applyProtection="1">
      <alignment horizontal="left" wrapText="1"/>
      <protection hidden="1"/>
    </xf>
    <xf numFmtId="0" fontId="43" fillId="2" borderId="0" xfId="0" applyFont="1" applyFill="1" applyAlignment="1" applyProtection="1">
      <alignment vertical="center"/>
      <protection hidden="1"/>
    </xf>
    <xf numFmtId="0" fontId="14" fillId="2" borderId="0" xfId="0" applyFont="1" applyFill="1" applyBorder="1" applyAlignment="1" applyProtection="1">
      <alignment horizontal="left" vertical="center"/>
      <protection hidden="1"/>
    </xf>
    <xf numFmtId="172" fontId="14" fillId="2" borderId="0" xfId="0" applyNumberFormat="1" applyFont="1" applyFill="1" applyBorder="1" applyAlignment="1" applyProtection="1">
      <alignment horizontal="center" vertical="center"/>
      <protection hidden="1"/>
    </xf>
    <xf numFmtId="172" fontId="19" fillId="2" borderId="0" xfId="0" applyNumberFormat="1" applyFont="1" applyFill="1" applyBorder="1" applyAlignment="1" applyProtection="1">
      <alignment horizontal="center" vertical="center"/>
      <protection hidden="1"/>
    </xf>
    <xf numFmtId="170" fontId="19" fillId="2" borderId="0" xfId="0" applyNumberFormat="1" applyFont="1" applyFill="1" applyBorder="1" applyAlignment="1" applyProtection="1">
      <alignment horizontal="center" vertical="center"/>
      <protection hidden="1"/>
    </xf>
    <xf numFmtId="0" fontId="27" fillId="2" borderId="0" xfId="0" applyFont="1" applyFill="1" applyProtection="1">
      <protection hidden="1"/>
    </xf>
    <xf numFmtId="0" fontId="27" fillId="2" borderId="0" xfId="0" applyFont="1" applyFill="1" applyAlignment="1" applyProtection="1">
      <alignment vertical="top" wrapText="1"/>
      <protection hidden="1"/>
    </xf>
    <xf numFmtId="0" fontId="0" fillId="4" borderId="3" xfId="0" applyFont="1" applyFill="1" applyBorder="1" applyProtection="1">
      <protection locked="0" hidden="1"/>
    </xf>
    <xf numFmtId="0" fontId="11" fillId="4" borderId="3" xfId="0" applyFont="1" applyFill="1" applyBorder="1" applyAlignment="1" applyProtection="1">
      <alignment horizontal="center"/>
      <protection locked="0" hidden="1"/>
    </xf>
    <xf numFmtId="0" fontId="0" fillId="4" borderId="3" xfId="0" applyFill="1" applyBorder="1" applyProtection="1">
      <protection locked="0" hidden="1"/>
    </xf>
    <xf numFmtId="0" fontId="0" fillId="4" borderId="0" xfId="0" applyFont="1" applyFill="1" applyBorder="1" applyProtection="1">
      <protection locked="0" hidden="1"/>
    </xf>
    <xf numFmtId="165" fontId="0" fillId="4" borderId="0" xfId="0" applyNumberFormat="1" applyFont="1" applyFill="1" applyBorder="1" applyProtection="1">
      <protection locked="0" hidden="1"/>
    </xf>
    <xf numFmtId="0" fontId="0" fillId="4" borderId="0" xfId="0" applyFill="1" applyBorder="1" applyProtection="1">
      <protection locked="0" hidden="1"/>
    </xf>
    <xf numFmtId="0" fontId="29" fillId="4" borderId="0" xfId="0" applyFont="1" applyFill="1" applyBorder="1" applyAlignment="1" applyProtection="1">
      <alignment horizontal="right"/>
      <protection locked="0" hidden="1"/>
    </xf>
    <xf numFmtId="0" fontId="0" fillId="4" borderId="0" xfId="0" applyFont="1" applyFill="1" applyBorder="1" applyAlignment="1" applyProtection="1">
      <alignment horizontal="right"/>
      <protection locked="0" hidden="1"/>
    </xf>
    <xf numFmtId="0" fontId="15" fillId="4" borderId="0" xfId="0" applyFont="1" applyFill="1" applyBorder="1" applyAlignment="1" applyProtection="1">
      <alignment horizontal="left"/>
      <protection locked="0" hidden="1"/>
    </xf>
    <xf numFmtId="167" fontId="0" fillId="4" borderId="0" xfId="0" applyNumberFormat="1" applyFont="1" applyFill="1" applyBorder="1" applyProtection="1">
      <protection locked="0" hidden="1"/>
    </xf>
    <xf numFmtId="0" fontId="0" fillId="4" borderId="0" xfId="0" applyFont="1" applyFill="1" applyProtection="1">
      <protection locked="0" hidden="1"/>
    </xf>
    <xf numFmtId="0" fontId="0" fillId="4" borderId="0" xfId="0" applyFill="1" applyProtection="1">
      <protection locked="0" hidden="1"/>
    </xf>
    <xf numFmtId="0" fontId="0" fillId="4" borderId="0" xfId="0" applyFill="1" applyAlignment="1" applyProtection="1">
      <alignment horizontal="right"/>
      <protection locked="0" hidden="1"/>
    </xf>
    <xf numFmtId="0" fontId="0" fillId="4" borderId="0" xfId="0" applyFont="1" applyFill="1" applyBorder="1" applyAlignment="1" applyProtection="1">
      <alignment horizontal="center"/>
      <protection locked="0" hidden="1"/>
    </xf>
    <xf numFmtId="0" fontId="11" fillId="4" borderId="0" xfId="0" applyFont="1" applyFill="1" applyBorder="1" applyAlignment="1" applyProtection="1">
      <alignment horizontal="center"/>
      <protection locked="0" hidden="1"/>
    </xf>
    <xf numFmtId="0" fontId="0" fillId="4" borderId="0" xfId="0" applyFill="1" applyBorder="1" applyAlignment="1" applyProtection="1">
      <alignment horizontal="center"/>
      <protection locked="0" hidden="1"/>
    </xf>
    <xf numFmtId="165" fontId="11" fillId="4" borderId="0" xfId="0" applyNumberFormat="1" applyFont="1" applyFill="1" applyBorder="1" applyAlignment="1" applyProtection="1">
      <alignment horizontal="center"/>
      <protection locked="0" hidden="1"/>
    </xf>
    <xf numFmtId="0" fontId="10" fillId="4" borderId="0" xfId="0" applyFont="1" applyFill="1" applyAlignment="1" applyProtection="1">
      <alignment horizontal="center" vertical="center"/>
      <protection locked="0" hidden="1"/>
    </xf>
    <xf numFmtId="0" fontId="0" fillId="4" borderId="1" xfId="0" applyFont="1" applyFill="1" applyBorder="1" applyProtection="1">
      <protection locked="0" hidden="1"/>
    </xf>
    <xf numFmtId="0" fontId="0" fillId="4" borderId="1" xfId="0" applyFill="1" applyBorder="1" applyProtection="1">
      <protection locked="0" hidden="1"/>
    </xf>
    <xf numFmtId="0" fontId="0" fillId="4" borderId="1" xfId="0" applyFont="1" applyFill="1" applyBorder="1" applyAlignment="1" applyProtection="1">
      <alignment horizontal="right"/>
      <protection locked="0" hidden="1"/>
    </xf>
    <xf numFmtId="165" fontId="11" fillId="4" borderId="1" xfId="0" applyNumberFormat="1" applyFont="1" applyFill="1" applyBorder="1" applyAlignment="1" applyProtection="1">
      <alignment horizontal="center"/>
      <protection locked="0" hidden="1"/>
    </xf>
    <xf numFmtId="0" fontId="10" fillId="4" borderId="1" xfId="0" applyFont="1" applyFill="1" applyBorder="1" applyAlignment="1" applyProtection="1">
      <alignment horizontal="center" vertical="center"/>
      <protection locked="0" hidden="1"/>
    </xf>
    <xf numFmtId="0" fontId="10" fillId="5" borderId="1" xfId="0" applyFont="1" applyFill="1" applyBorder="1" applyAlignment="1" applyProtection="1">
      <alignment horizontal="center" vertical="center"/>
      <protection locked="0" hidden="1"/>
    </xf>
    <xf numFmtId="0" fontId="19" fillId="4" borderId="0" xfId="0" applyFont="1" applyFill="1" applyAlignment="1" applyProtection="1">
      <alignment horizontal="center" vertical="center"/>
      <protection locked="0" hidden="1"/>
    </xf>
    <xf numFmtId="0" fontId="19" fillId="4" borderId="1" xfId="0" applyFont="1" applyFill="1" applyBorder="1" applyAlignment="1" applyProtection="1">
      <alignment horizontal="center" vertical="center"/>
      <protection locked="0" hidden="1"/>
    </xf>
    <xf numFmtId="0" fontId="5" fillId="2" borderId="0" xfId="17" applyFill="1"/>
    <xf numFmtId="0" fontId="5" fillId="2" borderId="0" xfId="17" applyFill="1" applyAlignment="1">
      <alignment wrapText="1"/>
    </xf>
    <xf numFmtId="0" fontId="9" fillId="2" borderId="0" xfId="17" applyFont="1" applyFill="1"/>
    <xf numFmtId="0" fontId="14" fillId="16" borderId="23" xfId="17" applyFont="1" applyFill="1" applyBorder="1" applyAlignment="1">
      <alignment horizontal="left" vertical="center"/>
    </xf>
    <xf numFmtId="0" fontId="14" fillId="17" borderId="24" xfId="17" applyFont="1" applyFill="1" applyBorder="1" applyAlignment="1">
      <alignment horizontal="left" vertical="center"/>
    </xf>
    <xf numFmtId="0" fontId="46" fillId="18" borderId="2" xfId="17" applyFont="1" applyFill="1" applyBorder="1" applyAlignment="1">
      <alignment horizontal="center" vertical="top" wrapText="1"/>
    </xf>
    <xf numFmtId="0" fontId="14" fillId="19" borderId="24" xfId="17" applyFont="1" applyFill="1" applyBorder="1" applyAlignment="1">
      <alignment horizontal="left" vertical="center"/>
    </xf>
    <xf numFmtId="0" fontId="47" fillId="20" borderId="2" xfId="17" applyFont="1" applyFill="1" applyBorder="1" applyAlignment="1">
      <alignment horizontal="center" vertical="top" wrapText="1"/>
    </xf>
    <xf numFmtId="0" fontId="14" fillId="21" borderId="23" xfId="17" applyFont="1" applyFill="1" applyBorder="1" applyAlignment="1">
      <alignment horizontal="left" vertical="center"/>
    </xf>
    <xf numFmtId="0" fontId="47" fillId="2" borderId="0" xfId="17" applyFont="1" applyFill="1" applyAlignment="1">
      <alignment vertical="top" wrapText="1"/>
    </xf>
    <xf numFmtId="0" fontId="5" fillId="2" borderId="0" xfId="17" applyFill="1" applyAlignment="1">
      <alignment vertical="top" wrapText="1"/>
    </xf>
    <xf numFmtId="0" fontId="9" fillId="2" borderId="0" xfId="17" applyFont="1" applyFill="1" applyAlignment="1">
      <alignment horizontal="left" vertical="center"/>
    </xf>
    <xf numFmtId="0" fontId="47" fillId="2" borderId="0" xfId="17" applyFont="1" applyFill="1" applyAlignment="1">
      <alignment horizontal="center" vertical="top" wrapText="1"/>
    </xf>
    <xf numFmtId="0" fontId="5" fillId="2" borderId="0" xfId="18" applyFill="1" applyAlignment="1">
      <alignment wrapText="1"/>
    </xf>
    <xf numFmtId="0" fontId="47" fillId="20" borderId="26" xfId="17" applyFont="1" applyFill="1" applyBorder="1" applyAlignment="1">
      <alignment horizontal="center" vertical="top" wrapText="1"/>
    </xf>
    <xf numFmtId="0" fontId="47" fillId="2" borderId="32" xfId="17" applyFont="1" applyFill="1" applyBorder="1" applyAlignment="1">
      <alignment vertical="top" wrapText="1"/>
    </xf>
    <xf numFmtId="0" fontId="5" fillId="2" borderId="0" xfId="17" applyFill="1" applyAlignment="1">
      <alignment vertical="top"/>
    </xf>
    <xf numFmtId="0" fontId="47" fillId="2" borderId="0" xfId="17" applyFont="1" applyFill="1" applyAlignment="1">
      <alignment wrapText="1"/>
    </xf>
    <xf numFmtId="0" fontId="49" fillId="24" borderId="0" xfId="17" applyFont="1" applyFill="1"/>
    <xf numFmtId="0" fontId="49" fillId="24" borderId="35" xfId="17" applyFont="1" applyFill="1" applyBorder="1" applyAlignment="1">
      <alignment horizontal="center"/>
    </xf>
    <xf numFmtId="0" fontId="52" fillId="2" borderId="0" xfId="0" applyFont="1" applyFill="1" applyAlignment="1">
      <alignment horizontal="left" vertical="center"/>
    </xf>
    <xf numFmtId="0" fontId="47" fillId="2" borderId="0" xfId="0" applyFont="1" applyFill="1" applyAlignment="1">
      <alignment horizontal="center" vertical="top" wrapText="1"/>
    </xf>
    <xf numFmtId="0" fontId="0" fillId="2" borderId="0" xfId="0" applyFill="1" applyAlignment="1">
      <alignment wrapText="1"/>
    </xf>
    <xf numFmtId="0" fontId="0" fillId="2" borderId="0" xfId="0" applyFill="1" applyAlignment="1">
      <alignment vertical="top" wrapText="1"/>
    </xf>
    <xf numFmtId="0" fontId="5" fillId="23" borderId="27" xfId="12" applyFont="1" applyFill="1" applyBorder="1" applyAlignment="1">
      <alignment horizontal="left" vertical="top" wrapText="1"/>
    </xf>
    <xf numFmtId="0" fontId="0" fillId="25" borderId="0" xfId="0" applyFill="1" applyAlignment="1" applyProtection="1">
      <protection hidden="1"/>
    </xf>
    <xf numFmtId="9" fontId="19" fillId="25" borderId="0" xfId="0" applyNumberFormat="1" applyFont="1" applyFill="1" applyBorder="1" applyAlignment="1" applyProtection="1">
      <alignment horizontal="center" vertical="center"/>
      <protection hidden="1"/>
    </xf>
    <xf numFmtId="0" fontId="19" fillId="25" borderId="0" xfId="0" applyFont="1" applyFill="1" applyBorder="1" applyAlignment="1" applyProtection="1">
      <alignment horizontal="left" vertical="center"/>
      <protection hidden="1"/>
    </xf>
    <xf numFmtId="0" fontId="0" fillId="25" borderId="0" xfId="0" applyFill="1" applyAlignment="1" applyProtection="1">
      <alignment horizontal="center"/>
      <protection hidden="1"/>
    </xf>
    <xf numFmtId="0" fontId="43" fillId="25" borderId="0" xfId="0" applyFont="1" applyFill="1" applyAlignment="1" applyProtection="1">
      <alignment vertical="center"/>
      <protection hidden="1"/>
    </xf>
    <xf numFmtId="0" fontId="14" fillId="25" borderId="0" xfId="0" applyFont="1" applyFill="1" applyBorder="1" applyAlignment="1" applyProtection="1">
      <alignment horizontal="left" vertical="center"/>
      <protection hidden="1"/>
    </xf>
    <xf numFmtId="49" fontId="45" fillId="25" borderId="0" xfId="0" applyNumberFormat="1" applyFont="1" applyFill="1" applyAlignment="1" applyProtection="1">
      <alignment vertical="top"/>
      <protection hidden="1"/>
    </xf>
    <xf numFmtId="0" fontId="0" fillId="25" borderId="0" xfId="0" applyFill="1" applyProtection="1">
      <protection hidden="1"/>
    </xf>
    <xf numFmtId="0" fontId="11" fillId="25" borderId="0" xfId="0" applyFont="1" applyFill="1" applyAlignment="1" applyProtection="1">
      <alignment wrapText="1"/>
      <protection hidden="1"/>
    </xf>
    <xf numFmtId="0" fontId="52" fillId="3" borderId="2" xfId="0" applyFont="1" applyFill="1" applyBorder="1" applyAlignment="1">
      <alignment vertical="top" wrapText="1"/>
    </xf>
    <xf numFmtId="0" fontId="48" fillId="3" borderId="2" xfId="0" applyFont="1" applyFill="1" applyBorder="1" applyAlignment="1">
      <alignment vertical="top" wrapText="1"/>
    </xf>
    <xf numFmtId="0" fontId="48" fillId="22" borderId="2" xfId="0" applyFont="1" applyFill="1" applyBorder="1" applyAlignment="1">
      <alignment vertical="top" wrapText="1"/>
    </xf>
    <xf numFmtId="0" fontId="48" fillId="3" borderId="27" xfId="0" applyFont="1" applyFill="1" applyBorder="1" applyAlignment="1">
      <alignment vertical="top" wrapText="1"/>
    </xf>
    <xf numFmtId="0" fontId="52" fillId="3" borderId="2" xfId="0" applyFont="1" applyFill="1" applyBorder="1" applyAlignment="1">
      <alignment wrapText="1"/>
    </xf>
    <xf numFmtId="0" fontId="48" fillId="2" borderId="0" xfId="0" applyFont="1" applyFill="1" applyAlignment="1">
      <alignment wrapText="1"/>
    </xf>
    <xf numFmtId="0" fontId="48" fillId="3" borderId="27" xfId="14" applyFont="1" applyFill="1" applyBorder="1" applyAlignment="1">
      <alignment vertical="top" wrapText="1"/>
    </xf>
    <xf numFmtId="0" fontId="48" fillId="3" borderId="26" xfId="14" applyFont="1" applyFill="1" applyBorder="1" applyAlignment="1">
      <alignment vertical="top" wrapText="1"/>
    </xf>
    <xf numFmtId="0" fontId="4" fillId="3" borderId="26" xfId="17" applyFont="1" applyFill="1" applyBorder="1"/>
    <xf numFmtId="0" fontId="3" fillId="2" borderId="0" xfId="17" applyFont="1" applyFill="1"/>
    <xf numFmtId="171" fontId="11" fillId="2" borderId="5" xfId="0" applyNumberFormat="1" applyFont="1" applyFill="1" applyBorder="1" applyAlignment="1" applyProtection="1">
      <alignment horizontal="center" vertical="center"/>
      <protection hidden="1"/>
    </xf>
    <xf numFmtId="171" fontId="19" fillId="2" borderId="5" xfId="0" applyNumberFormat="1" applyFont="1" applyFill="1" applyBorder="1" applyAlignment="1" applyProtection="1">
      <alignment horizontal="center" vertical="center"/>
      <protection hidden="1"/>
    </xf>
    <xf numFmtId="172" fontId="4" fillId="14" borderId="29" xfId="12" applyNumberFormat="1" applyFont="1" applyFill="1" applyBorder="1" applyAlignment="1">
      <alignment horizontal="left" vertical="top" wrapText="1"/>
    </xf>
    <xf numFmtId="0" fontId="14" fillId="26" borderId="31" xfId="0" applyFont="1" applyFill="1" applyBorder="1" applyAlignment="1">
      <alignment horizontal="left" vertical="center"/>
    </xf>
    <xf numFmtId="0" fontId="14" fillId="26" borderId="31" xfId="0" applyFont="1" applyFill="1" applyBorder="1" applyAlignment="1">
      <alignment horizontal="left" vertical="top"/>
    </xf>
    <xf numFmtId="0" fontId="9" fillId="27" borderId="0" xfId="0" applyFont="1" applyFill="1" applyAlignment="1">
      <alignment horizontal="left" vertical="center"/>
    </xf>
    <xf numFmtId="0" fontId="14" fillId="26" borderId="23" xfId="0" applyFont="1" applyFill="1" applyBorder="1" applyAlignment="1">
      <alignment horizontal="left" vertical="center"/>
    </xf>
    <xf numFmtId="0" fontId="14" fillId="28" borderId="23" xfId="0" applyFont="1" applyFill="1" applyBorder="1" applyAlignment="1">
      <alignment horizontal="left" vertical="center"/>
    </xf>
    <xf numFmtId="0" fontId="14" fillId="26" borderId="25" xfId="0" applyFont="1" applyFill="1" applyBorder="1" applyAlignment="1">
      <alignment horizontal="left" vertical="center"/>
    </xf>
    <xf numFmtId="0" fontId="14" fillId="28" borderId="25" xfId="0" applyFont="1" applyFill="1" applyBorder="1" applyAlignment="1">
      <alignment horizontal="left" vertical="center"/>
    </xf>
    <xf numFmtId="0" fontId="14" fillId="29" borderId="25" xfId="0" applyFont="1" applyFill="1" applyBorder="1" applyAlignment="1">
      <alignment horizontal="left" vertical="center"/>
    </xf>
    <xf numFmtId="0" fontId="14" fillId="29" borderId="23" xfId="0" applyFont="1" applyFill="1" applyBorder="1" applyAlignment="1">
      <alignment horizontal="left" vertical="top"/>
    </xf>
    <xf numFmtId="0" fontId="14" fillId="30" borderId="23" xfId="0" applyFont="1" applyFill="1" applyBorder="1" applyAlignment="1">
      <alignment horizontal="left" vertical="center"/>
    </xf>
    <xf numFmtId="0" fontId="14" fillId="31" borderId="23" xfId="0" applyFont="1" applyFill="1" applyBorder="1" applyAlignment="1">
      <alignment horizontal="left" vertical="center"/>
    </xf>
    <xf numFmtId="0" fontId="14" fillId="29" borderId="34" xfId="0" applyFont="1" applyFill="1" applyBorder="1" applyAlignment="1">
      <alignment horizontal="left" vertical="center"/>
    </xf>
    <xf numFmtId="0" fontId="14" fillId="29" borderId="31" xfId="0" applyFont="1" applyFill="1" applyBorder="1" applyAlignment="1">
      <alignment horizontal="left" vertical="center"/>
    </xf>
    <xf numFmtId="0" fontId="14" fillId="30" borderId="25" xfId="0" applyFont="1" applyFill="1" applyBorder="1" applyAlignment="1">
      <alignment horizontal="left" vertical="center"/>
    </xf>
    <xf numFmtId="0" fontId="14" fillId="32" borderId="23" xfId="0" applyFont="1" applyFill="1" applyBorder="1" applyAlignment="1">
      <alignment horizontal="left" vertical="center"/>
    </xf>
    <xf numFmtId="0" fontId="12" fillId="33" borderId="23" xfId="14" applyFont="1" applyFill="1" applyBorder="1" applyAlignment="1">
      <alignment horizontal="left" vertical="center"/>
    </xf>
    <xf numFmtId="0" fontId="14" fillId="31" borderId="23" xfId="15" applyFont="1" applyFill="1" applyBorder="1" applyAlignment="1">
      <alignment horizontal="left" vertical="center"/>
    </xf>
    <xf numFmtId="0" fontId="12" fillId="33" borderId="23" xfId="0" applyFont="1" applyFill="1" applyBorder="1" applyAlignment="1">
      <alignment horizontal="left" vertical="center"/>
    </xf>
    <xf numFmtId="0" fontId="14" fillId="26" borderId="0" xfId="0" applyFont="1" applyFill="1" applyAlignment="1">
      <alignment horizontal="left" vertical="center"/>
    </xf>
    <xf numFmtId="0" fontId="52" fillId="34" borderId="2" xfId="0" applyFont="1" applyFill="1" applyBorder="1" applyAlignment="1">
      <alignment vertical="top" wrapText="1"/>
    </xf>
    <xf numFmtId="0" fontId="48" fillId="34" borderId="2" xfId="0" applyFont="1" applyFill="1" applyBorder="1" applyAlignment="1">
      <alignment vertical="top" wrapText="1"/>
    </xf>
    <xf numFmtId="0" fontId="48" fillId="34" borderId="2" xfId="11" applyFont="1" applyFill="1" applyBorder="1" applyAlignment="1">
      <alignment vertical="top" wrapText="1"/>
    </xf>
    <xf numFmtId="0" fontId="48" fillId="34" borderId="33" xfId="0" applyFont="1" applyFill="1" applyBorder="1" applyAlignment="1">
      <alignment vertical="top" wrapText="1"/>
    </xf>
    <xf numFmtId="0" fontId="48" fillId="34" borderId="26" xfId="0" applyFont="1" applyFill="1" applyBorder="1" applyAlignment="1">
      <alignment vertical="top" wrapText="1"/>
    </xf>
    <xf numFmtId="0" fontId="48" fillId="34" borderId="27" xfId="0" applyFont="1" applyFill="1" applyBorder="1" applyAlignment="1">
      <alignment vertical="top" wrapText="1"/>
    </xf>
    <xf numFmtId="0" fontId="48" fillId="34" borderId="2" xfId="14" applyFont="1" applyFill="1" applyBorder="1" applyAlignment="1">
      <alignment vertical="top" wrapText="1"/>
    </xf>
    <xf numFmtId="0" fontId="48" fillId="34" borderId="36" xfId="0" applyFont="1" applyFill="1" applyBorder="1" applyAlignment="1">
      <alignment vertical="top" wrapText="1"/>
    </xf>
    <xf numFmtId="0" fontId="48" fillId="34" borderId="37" xfId="0" applyFont="1" applyFill="1" applyBorder="1" applyAlignment="1">
      <alignment vertical="top" wrapText="1"/>
    </xf>
    <xf numFmtId="0" fontId="48" fillId="27" borderId="0" xfId="0" applyFont="1" applyFill="1" applyAlignment="1">
      <alignment vertical="top" wrapText="1"/>
    </xf>
    <xf numFmtId="0" fontId="52" fillId="34" borderId="27" xfId="0" applyFont="1" applyFill="1" applyBorder="1" applyAlignment="1">
      <alignment vertical="top" wrapText="1"/>
    </xf>
    <xf numFmtId="173" fontId="2" fillId="14" borderId="29" xfId="17" applyNumberFormat="1" applyFont="1" applyFill="1" applyBorder="1" applyAlignment="1">
      <alignment horizontal="left"/>
    </xf>
    <xf numFmtId="173" fontId="2" fillId="14" borderId="26" xfId="17" applyNumberFormat="1" applyFont="1" applyFill="1" applyBorder="1" applyAlignment="1">
      <alignment horizontal="left" vertical="top" wrapText="1"/>
    </xf>
    <xf numFmtId="0" fontId="22" fillId="2" borderId="0" xfId="0" applyFont="1" applyFill="1" applyAlignment="1" applyProtection="1">
      <alignment vertical="center"/>
      <protection hidden="1"/>
    </xf>
    <xf numFmtId="0" fontId="53" fillId="2" borderId="0" xfId="0" applyFont="1" applyFill="1" applyProtection="1">
      <protection hidden="1"/>
    </xf>
    <xf numFmtId="0" fontId="0" fillId="4" borderId="0" xfId="0" applyFill="1" applyBorder="1" applyAlignment="1" applyProtection="1">
      <alignment horizontal="left"/>
      <protection locked="0" hidden="1"/>
    </xf>
    <xf numFmtId="0" fontId="0" fillId="2" borderId="0" xfId="0" applyFill="1" applyAlignment="1" applyProtection="1">
      <protection hidden="1"/>
    </xf>
    <xf numFmtId="0" fontId="26" fillId="2" borderId="0" xfId="0" applyFont="1" applyFill="1" applyAlignment="1" applyProtection="1">
      <alignment horizontal="left" vertical="center" indent="2"/>
      <protection hidden="1"/>
    </xf>
    <xf numFmtId="0" fontId="53" fillId="2" borderId="0" xfId="0" applyFont="1" applyFill="1" applyAlignment="1" applyProtection="1">
      <alignment horizontal="center" vertical="center"/>
      <protection hidden="1"/>
    </xf>
    <xf numFmtId="0" fontId="53" fillId="2" borderId="0" xfId="0" applyFont="1" applyFill="1" applyAlignment="1" applyProtection="1">
      <alignment horizontal="left" vertical="center"/>
      <protection hidden="1"/>
    </xf>
    <xf numFmtId="0" fontId="58" fillId="2" borderId="0" xfId="0" applyFont="1" applyFill="1" applyBorder="1" applyProtection="1">
      <protection hidden="1"/>
    </xf>
    <xf numFmtId="0" fontId="14" fillId="3" borderId="2" xfId="11" applyFont="1" applyFill="1" applyBorder="1" applyAlignment="1">
      <alignment wrapText="1"/>
    </xf>
    <xf numFmtId="0" fontId="48" fillId="3" borderId="27" xfId="17" applyFont="1" applyFill="1" applyBorder="1" applyAlignment="1">
      <alignment vertical="top" wrapText="1"/>
    </xf>
    <xf numFmtId="0" fontId="48" fillId="3" borderId="29" xfId="17" applyFont="1" applyFill="1" applyBorder="1" applyAlignment="1">
      <alignment vertical="top" wrapText="1"/>
    </xf>
    <xf numFmtId="0" fontId="48" fillId="3" borderId="27" xfId="12" applyFont="1" applyFill="1" applyBorder="1" applyAlignment="1">
      <alignment vertical="top" wrapText="1"/>
    </xf>
    <xf numFmtId="0" fontId="48" fillId="3" borderId="29" xfId="12" applyFont="1" applyFill="1" applyBorder="1" applyAlignment="1">
      <alignment vertical="top" wrapText="1"/>
    </xf>
    <xf numFmtId="0" fontId="1" fillId="3" borderId="2" xfId="17" applyFont="1" applyFill="1" applyBorder="1"/>
    <xf numFmtId="175" fontId="14" fillId="2" borderId="6" xfId="0" applyNumberFormat="1" applyFont="1" applyFill="1" applyBorder="1" applyAlignment="1" applyProtection="1">
      <alignment horizontal="center" vertical="center"/>
      <protection locked="0" hidden="1"/>
    </xf>
    <xf numFmtId="175" fontId="11" fillId="2" borderId="5" xfId="0" applyNumberFormat="1" applyFont="1" applyFill="1" applyBorder="1" applyAlignment="1" applyProtection="1">
      <alignment horizontal="center" vertical="center"/>
      <protection hidden="1"/>
    </xf>
    <xf numFmtId="175" fontId="10" fillId="6" borderId="0" xfId="0" applyNumberFormat="1" applyFont="1" applyFill="1" applyBorder="1" applyAlignment="1" applyProtection="1">
      <alignment horizontal="center" vertical="center"/>
      <protection hidden="1"/>
    </xf>
    <xf numFmtId="175" fontId="0" fillId="14" borderId="0" xfId="0" applyNumberFormat="1" applyFill="1" applyAlignment="1">
      <alignment horizontal="center"/>
    </xf>
    <xf numFmtId="171" fontId="14" fillId="2" borderId="6" xfId="0" applyNumberFormat="1" applyFont="1" applyFill="1" applyBorder="1" applyAlignment="1" applyProtection="1">
      <alignment horizontal="center" vertical="center"/>
      <protection locked="0" hidden="1"/>
    </xf>
    <xf numFmtId="0" fontId="44" fillId="2" borderId="0" xfId="0" applyFont="1" applyFill="1" applyAlignment="1" applyProtection="1">
      <alignment wrapText="1"/>
      <protection hidden="1"/>
    </xf>
    <xf numFmtId="174" fontId="10" fillId="35" borderId="38" xfId="0" applyNumberFormat="1" applyFont="1" applyFill="1" applyBorder="1" applyAlignment="1" applyProtection="1">
      <alignment horizontal="center" vertical="center"/>
      <protection hidden="1"/>
    </xf>
    <xf numFmtId="0" fontId="44" fillId="2" borderId="0" xfId="0" applyFont="1" applyFill="1" applyAlignment="1" applyProtection="1">
      <alignment vertical="center"/>
      <protection hidden="1"/>
    </xf>
    <xf numFmtId="0" fontId="16" fillId="2" borderId="0" xfId="0" applyFont="1" applyFill="1" applyProtection="1">
      <protection locked="0" hidden="1"/>
    </xf>
    <xf numFmtId="0" fontId="0" fillId="3" borderId="0" xfId="0" applyFill="1" applyAlignment="1">
      <alignment horizontal="center"/>
    </xf>
    <xf numFmtId="0" fontId="0" fillId="4" borderId="0" xfId="0" applyFill="1" applyAlignment="1">
      <alignment horizontal="center"/>
    </xf>
    <xf numFmtId="0" fontId="0" fillId="2" borderId="0" xfId="0" applyFill="1" applyAlignment="1">
      <alignment horizontal="left"/>
    </xf>
    <xf numFmtId="0" fontId="56" fillId="2" borderId="0" xfId="0" applyFont="1" applyFill="1" applyAlignment="1" applyProtection="1">
      <alignment horizontal="left" vertical="top" wrapText="1"/>
      <protection hidden="1"/>
    </xf>
    <xf numFmtId="0" fontId="11" fillId="2" borderId="0" xfId="0" applyFont="1" applyFill="1" applyAlignment="1" applyProtection="1">
      <alignment horizontal="left" vertical="top" wrapText="1"/>
      <protection hidden="1"/>
    </xf>
    <xf numFmtId="0" fontId="28" fillId="2" borderId="0" xfId="0" applyFont="1" applyFill="1" applyAlignment="1" applyProtection="1">
      <alignment horizontal="left" vertical="center" wrapText="1"/>
      <protection hidden="1"/>
    </xf>
    <xf numFmtId="0" fontId="0" fillId="2" borderId="0" xfId="0" applyFill="1" applyAlignment="1" applyProtection="1">
      <alignment horizontal="center" vertical="center"/>
      <protection hidden="1"/>
    </xf>
    <xf numFmtId="0" fontId="57" fillId="2" borderId="0" xfId="0" applyFont="1" applyFill="1" applyAlignment="1" applyProtection="1">
      <alignment horizontal="left" vertical="center" wrapText="1"/>
      <protection hidden="1"/>
    </xf>
    <xf numFmtId="0" fontId="59" fillId="2" borderId="0" xfId="0" applyFont="1" applyFill="1" applyAlignment="1" applyProtection="1">
      <alignment horizontal="justify" vertical="top" wrapText="1"/>
      <protection hidden="1"/>
    </xf>
    <xf numFmtId="0" fontId="28" fillId="4" borderId="0" xfId="0" applyFont="1" applyFill="1" applyBorder="1" applyAlignment="1" applyProtection="1">
      <alignment horizontal="left" vertical="center" wrapText="1"/>
      <protection hidden="1"/>
    </xf>
    <xf numFmtId="0" fontId="28" fillId="4" borderId="0" xfId="0" applyFont="1" applyFill="1" applyAlignment="1" applyProtection="1">
      <alignment horizontal="left" vertical="center" wrapText="1"/>
      <protection hidden="1"/>
    </xf>
    <xf numFmtId="0" fontId="19" fillId="4" borderId="0" xfId="0" applyFont="1" applyFill="1" applyBorder="1" applyAlignment="1" applyProtection="1">
      <alignment horizontal="left" vertical="center" wrapText="1"/>
      <protection hidden="1"/>
    </xf>
    <xf numFmtId="0" fontId="19" fillId="25" borderId="0" xfId="0" applyFont="1" applyFill="1" applyBorder="1" applyAlignment="1" applyProtection="1">
      <alignment horizontal="left" vertical="center" wrapText="1"/>
      <protection hidden="1"/>
    </xf>
    <xf numFmtId="0" fontId="11" fillId="25" borderId="0" xfId="0" applyFont="1" applyFill="1" applyAlignment="1" applyProtection="1">
      <alignment horizontal="left" vertical="center" wrapText="1"/>
      <protection hidden="1"/>
    </xf>
    <xf numFmtId="0" fontId="10" fillId="7" borderId="0" xfId="0" applyFont="1" applyFill="1" applyBorder="1" applyAlignment="1" applyProtection="1">
      <alignment horizontal="left" vertical="center" wrapText="1"/>
      <protection hidden="1"/>
    </xf>
    <xf numFmtId="175" fontId="19" fillId="2" borderId="9" xfId="0" applyNumberFormat="1" applyFont="1" applyFill="1" applyBorder="1" applyAlignment="1" applyProtection="1">
      <alignment horizontal="center" vertical="center"/>
      <protection locked="0" hidden="1"/>
    </xf>
    <xf numFmtId="170" fontId="19" fillId="2" borderId="10" xfId="0" applyNumberFormat="1" applyFont="1" applyFill="1" applyBorder="1" applyAlignment="1" applyProtection="1">
      <alignment horizontal="center" vertical="center"/>
      <protection locked="0" hidden="1"/>
    </xf>
    <xf numFmtId="170" fontId="19" fillId="2" borderId="11" xfId="0" applyNumberFormat="1" applyFont="1" applyFill="1" applyBorder="1" applyAlignment="1" applyProtection="1">
      <alignment horizontal="center" vertical="center"/>
      <protection locked="0" hidden="1"/>
    </xf>
    <xf numFmtId="175" fontId="11" fillId="2" borderId="12" xfId="0" applyNumberFormat="1" applyFont="1" applyFill="1" applyBorder="1" applyAlignment="1" applyProtection="1">
      <alignment horizontal="center" vertical="center"/>
      <protection hidden="1"/>
    </xf>
    <xf numFmtId="170" fontId="11" fillId="2" borderId="13" xfId="0" applyNumberFormat="1" applyFont="1" applyFill="1" applyBorder="1" applyAlignment="1" applyProtection="1">
      <alignment horizontal="center" vertical="center"/>
      <protection hidden="1"/>
    </xf>
    <xf numFmtId="170" fontId="11" fillId="2" borderId="14" xfId="0" applyNumberFormat="1" applyFont="1" applyFill="1" applyBorder="1" applyAlignment="1" applyProtection="1">
      <alignment horizontal="center" vertical="center"/>
      <protection hidden="1"/>
    </xf>
    <xf numFmtId="0" fontId="42" fillId="2" borderId="0" xfId="0" applyFont="1" applyFill="1" applyAlignment="1" applyProtection="1">
      <alignment horizontal="right" vertical="center" indent="1"/>
      <protection hidden="1"/>
    </xf>
    <xf numFmtId="0" fontId="19" fillId="2" borderId="0" xfId="0" applyFont="1" applyFill="1" applyAlignment="1" applyProtection="1">
      <alignment horizontal="left" wrapText="1"/>
      <protection hidden="1"/>
    </xf>
    <xf numFmtId="0" fontId="10" fillId="12" borderId="0" xfId="0" applyFont="1" applyFill="1" applyAlignment="1" applyProtection="1">
      <alignment horizontal="left" vertical="center" wrapText="1"/>
      <protection hidden="1"/>
    </xf>
    <xf numFmtId="0" fontId="37" fillId="2" borderId="0" xfId="0" applyFont="1" applyFill="1" applyAlignment="1" applyProtection="1">
      <alignment horizontal="left" wrapText="1"/>
      <protection hidden="1"/>
    </xf>
    <xf numFmtId="0" fontId="48" fillId="3" borderId="27" xfId="12" applyFont="1" applyFill="1" applyBorder="1" applyAlignment="1">
      <alignment horizontal="left" vertical="top" wrapText="1"/>
    </xf>
    <xf numFmtId="0" fontId="48" fillId="3" borderId="29" xfId="12" applyFont="1" applyFill="1" applyBorder="1" applyAlignment="1">
      <alignment horizontal="left" vertical="top" wrapText="1"/>
    </xf>
    <xf numFmtId="0" fontId="48" fillId="3" borderId="26" xfId="12" applyFont="1" applyFill="1" applyBorder="1" applyAlignment="1">
      <alignment horizontal="left" vertical="top" wrapText="1"/>
    </xf>
    <xf numFmtId="0" fontId="14" fillId="29" borderId="30" xfId="0" applyFont="1" applyFill="1" applyBorder="1" applyAlignment="1">
      <alignment horizontal="left" vertical="center"/>
    </xf>
    <xf numFmtId="0" fontId="14" fillId="29" borderId="28" xfId="0" applyFont="1" applyFill="1" applyBorder="1" applyAlignment="1">
      <alignment horizontal="left" vertical="center"/>
    </xf>
    <xf numFmtId="0" fontId="46" fillId="18" borderId="27" xfId="17" applyFont="1" applyFill="1" applyBorder="1" applyAlignment="1">
      <alignment horizontal="center" vertical="center" wrapText="1"/>
    </xf>
    <xf numFmtId="0" fontId="46" fillId="18" borderId="29" xfId="17" applyFont="1" applyFill="1" applyBorder="1" applyAlignment="1">
      <alignment horizontal="center" vertical="center" wrapText="1"/>
    </xf>
    <xf numFmtId="0" fontId="46" fillId="18" borderId="26" xfId="17" applyFont="1" applyFill="1" applyBorder="1" applyAlignment="1">
      <alignment horizontal="center" vertical="center" wrapText="1"/>
    </xf>
    <xf numFmtId="0" fontId="9" fillId="3" borderId="27" xfId="0" applyFont="1" applyFill="1" applyBorder="1" applyAlignment="1">
      <alignment horizontal="left" vertical="top" wrapText="1"/>
    </xf>
    <xf numFmtId="0" fontId="9" fillId="3" borderId="26" xfId="0" applyFont="1" applyFill="1" applyBorder="1" applyAlignment="1">
      <alignment horizontal="left" vertical="top" wrapText="1"/>
    </xf>
    <xf numFmtId="0" fontId="47" fillId="20" borderId="27" xfId="0" applyFont="1" applyFill="1" applyBorder="1" applyAlignment="1">
      <alignment horizontal="center" vertical="top" wrapText="1"/>
    </xf>
    <xf numFmtId="0" fontId="47" fillId="20" borderId="26" xfId="0" applyFont="1" applyFill="1" applyBorder="1" applyAlignment="1">
      <alignment horizontal="center" vertical="top" wrapText="1"/>
    </xf>
    <xf numFmtId="0" fontId="9" fillId="3" borderId="27" xfId="0" applyFont="1" applyFill="1" applyBorder="1" applyAlignment="1">
      <alignment vertical="top" wrapText="1"/>
    </xf>
    <xf numFmtId="0" fontId="9" fillId="3" borderId="26" xfId="0" applyFont="1" applyFill="1" applyBorder="1" applyAlignment="1">
      <alignment vertical="top" wrapText="1"/>
    </xf>
    <xf numFmtId="0" fontId="28" fillId="2" borderId="0" xfId="0" applyFont="1" applyFill="1" applyAlignment="1" applyProtection="1">
      <alignment vertical="center"/>
      <protection hidden="1"/>
    </xf>
    <xf numFmtId="171" fontId="53" fillId="2" borderId="0" xfId="0" applyNumberFormat="1" applyFont="1" applyFill="1" applyBorder="1" applyAlignment="1" applyProtection="1">
      <alignment horizontal="left" vertical="center"/>
      <protection hidden="1"/>
    </xf>
    <xf numFmtId="0" fontId="16" fillId="2" borderId="0" xfId="0" applyFont="1" applyFill="1" applyAlignment="1" applyProtection="1">
      <alignment vertical="center"/>
      <protection hidden="1"/>
    </xf>
    <xf numFmtId="0" fontId="14" fillId="2" borderId="0" xfId="0" applyFont="1" applyFill="1" applyAlignment="1" applyProtection="1">
      <alignment horizontal="right" vertical="center"/>
      <protection hidden="1"/>
    </xf>
  </cellXfs>
  <cellStyles count="20">
    <cellStyle name="Milliers 2" xfId="4" xr:uid="{00000000-0005-0000-0000-000000000000}"/>
    <cellStyle name="Milliers 3" xfId="8" xr:uid="{00000000-0005-0000-0000-000001000000}"/>
    <cellStyle name="Normal" xfId="0" builtinId="0"/>
    <cellStyle name="Normal 2" xfId="2" xr:uid="{00000000-0005-0000-0000-000003000000}"/>
    <cellStyle name="Normal 2 2" xfId="9" xr:uid="{00000000-0005-0000-0000-000004000000}"/>
    <cellStyle name="Normal 2 3" xfId="12" xr:uid="{7553055C-529D-4012-B3AC-C554775C74A2}"/>
    <cellStyle name="Normal 3" xfId="5" xr:uid="{00000000-0005-0000-0000-000005000000}"/>
    <cellStyle name="Normal 3 2" xfId="7" xr:uid="{00000000-0005-0000-0000-000006000000}"/>
    <cellStyle name="Normal 4" xfId="6" xr:uid="{00000000-0005-0000-0000-000007000000}"/>
    <cellStyle name="Normal 5" xfId="11" xr:uid="{4A271797-851F-4A74-B17B-BDFF98EB1055}"/>
    <cellStyle name="Normal 5 2" xfId="14" xr:uid="{6FFE81F9-3B30-40C7-BFA1-3914D0D663A6}"/>
    <cellStyle name="Normal 5 2 2" xfId="17" xr:uid="{06BBC927-5F32-430F-BBC0-E94149F5ABC8}"/>
    <cellStyle name="Normal 6" xfId="13" xr:uid="{0A117D5D-D393-428A-9F9C-45A280AEE7AC}"/>
    <cellStyle name="Normal 7" xfId="15" xr:uid="{5D713709-EBAA-462D-B25F-6E90A865179C}"/>
    <cellStyle name="Normal 7 2" xfId="19" xr:uid="{174A3BEF-64C4-4D9E-B043-67A5A180EE48}"/>
    <cellStyle name="Normal 8" xfId="16" xr:uid="{C81C4F3D-B5E1-4029-B263-A007BA7D6CD5}"/>
    <cellStyle name="Normal 8 2" xfId="18" xr:uid="{AF875BE1-CF79-4919-ACFE-0F876312A4AF}"/>
    <cellStyle name="Pourcentage" xfId="1" builtinId="5"/>
    <cellStyle name="Pourcentage 2" xfId="3" xr:uid="{00000000-0005-0000-0000-000009000000}"/>
    <cellStyle name="Pourcentage 2 2" xfId="10" xr:uid="{00000000-0005-0000-0000-00000A000000}"/>
  </cellStyles>
  <dxfs count="37">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rgb="FF9FAEC1"/>
        </patternFill>
      </fill>
    </dxf>
    <dxf>
      <fill>
        <patternFill>
          <bgColor theme="8" tint="0.59996337778862885"/>
        </patternFill>
      </fill>
    </dxf>
    <dxf>
      <font>
        <b/>
        <i/>
        <strike val="0"/>
        <condense val="0"/>
        <extend val="0"/>
        <u val="none"/>
        <color indexed="18"/>
      </font>
      <fill>
        <patternFill patternType="lightGray"/>
      </fill>
      <border>
        <left style="thin">
          <color indexed="64"/>
        </left>
        <right style="thin">
          <color indexed="64"/>
        </right>
        <top style="thin">
          <color indexed="64"/>
        </top>
        <bottom style="thin">
          <color indexed="64"/>
        </bottom>
      </border>
    </dxf>
    <dxf>
      <font>
        <color theme="0"/>
      </font>
      <fill>
        <patternFill>
          <bgColor theme="8"/>
        </patternFill>
      </fill>
      <border>
        <left style="thin">
          <color theme="8"/>
        </left>
        <right style="thin">
          <color theme="8"/>
        </right>
        <top style="thin">
          <color theme="8"/>
        </top>
        <bottom style="thin">
          <color theme="8"/>
        </bottom>
        <vertical/>
        <horizontal/>
      </border>
    </dxf>
    <dxf>
      <font>
        <color theme="8"/>
      </font>
    </dxf>
    <dxf>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0" tint="-4.9989318521683403E-2"/>
      </font>
      <fill>
        <patternFill>
          <bgColor theme="0" tint="-4.9989318521683403E-2"/>
        </patternFill>
      </fill>
    </dxf>
    <dxf>
      <fill>
        <patternFill>
          <bgColor rgb="FFB3CD81"/>
        </patternFill>
      </fill>
    </dxf>
    <dxf>
      <fill>
        <patternFill>
          <bgColor rgb="FFB3CD81"/>
        </patternFill>
      </fill>
    </dxf>
  </dxfs>
  <tableStyles count="0" defaultTableStyle="TableStyleMedium2" defaultPivotStyle="PivotStyleLight16"/>
  <colors>
    <mruColors>
      <color rgb="FF4D758C"/>
      <color rgb="FFD2D6EA"/>
      <color rgb="FFE8F3F8"/>
      <color rgb="FFEBF4F9"/>
      <color rgb="FFDE1218"/>
      <color rgb="FFFFE97E"/>
      <color rgb="FF395181"/>
      <color rgb="FFB9D9EA"/>
      <color rgb="FF7098B1"/>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sv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11.sv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12</xdr:row>
          <xdr:rowOff>0</xdr:rowOff>
        </xdr:from>
        <xdr:to>
          <xdr:col>2</xdr:col>
          <xdr:colOff>142875</xdr:colOff>
          <xdr:row>12</xdr:row>
          <xdr:rowOff>133350</xdr:rowOff>
        </xdr:to>
        <xdr:sp macro="" textlink="">
          <xdr:nvSpPr>
            <xdr:cNvPr id="3199" name="OptionButton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19050</xdr:rowOff>
        </xdr:from>
        <xdr:to>
          <xdr:col>2</xdr:col>
          <xdr:colOff>152400</xdr:colOff>
          <xdr:row>14</xdr:row>
          <xdr:rowOff>9525</xdr:rowOff>
        </xdr:to>
        <xdr:sp macro="" textlink="">
          <xdr:nvSpPr>
            <xdr:cNvPr id="3200" name="OptionButton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200527</xdr:colOff>
      <xdr:row>5</xdr:row>
      <xdr:rowOff>25065</xdr:rowOff>
    </xdr:from>
    <xdr:to>
      <xdr:col>19</xdr:col>
      <xdr:colOff>57979</xdr:colOff>
      <xdr:row>16</xdr:row>
      <xdr:rowOff>116974</xdr:rowOff>
    </xdr:to>
    <xdr:sp macro="" textlink="">
      <xdr:nvSpPr>
        <xdr:cNvPr id="5" name="Rectangle : coins arrondis 4">
          <a:extLst>
            <a:ext uri="{FF2B5EF4-FFF2-40B4-BE49-F238E27FC236}">
              <a16:creationId xmlns:a16="http://schemas.microsoft.com/office/drawing/2014/main" id="{00000000-0008-0000-0000-000005000000}"/>
            </a:ext>
          </a:extLst>
        </xdr:cNvPr>
        <xdr:cNvSpPr/>
      </xdr:nvSpPr>
      <xdr:spPr>
        <a:xfrm>
          <a:off x="200527" y="878174"/>
          <a:ext cx="9382452" cy="1591061"/>
        </a:xfrm>
        <a:prstGeom prst="roundRect">
          <a:avLst>
            <a:gd name="adj" fmla="val 4274"/>
          </a:avLst>
        </a:prstGeom>
        <a:noFill/>
        <a:ln w="952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1307097</xdr:colOff>
      <xdr:row>19</xdr:row>
      <xdr:rowOff>250658</xdr:rowOff>
    </xdr:from>
    <xdr:to>
      <xdr:col>19</xdr:col>
      <xdr:colOff>0</xdr:colOff>
      <xdr:row>27</xdr:row>
      <xdr:rowOff>33421</xdr:rowOff>
    </xdr:to>
    <xdr:sp macro="" textlink="">
      <xdr:nvSpPr>
        <xdr:cNvPr id="28" name="InfoBulleAbond" hidden="1">
          <a:extLst>
            <a:ext uri="{FF2B5EF4-FFF2-40B4-BE49-F238E27FC236}">
              <a16:creationId xmlns:a16="http://schemas.microsoft.com/office/drawing/2014/main" id="{00000000-0008-0000-0000-00001C000000}"/>
            </a:ext>
          </a:extLst>
        </xdr:cNvPr>
        <xdr:cNvSpPr/>
      </xdr:nvSpPr>
      <xdr:spPr>
        <a:xfrm>
          <a:off x="6654465" y="3149934"/>
          <a:ext cx="2394285" cy="543092"/>
        </a:xfrm>
        <a:prstGeom prst="wedgeRectCallout">
          <a:avLst>
            <a:gd name="adj1" fmla="val -54798"/>
            <a:gd name="adj2" fmla="val 24514"/>
          </a:avLst>
        </a:prstGeom>
        <a:solidFill>
          <a:srgbClr val="39518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lang="fr-FR" sz="900">
              <a:latin typeface="Arial" panose="020B0604020202020204" pitchFamily="34" charset="0"/>
              <a:cs typeface="Arial" panose="020B0604020202020204" pitchFamily="34" charset="0"/>
            </a:rPr>
            <a:t>Le montant de l'abondement</a:t>
          </a:r>
          <a:r>
            <a:rPr lang="fr-FR" sz="900" baseline="0">
              <a:latin typeface="Arial" panose="020B0604020202020204" pitchFamily="34" charset="0"/>
              <a:cs typeface="Arial" panose="020B0604020202020204" pitchFamily="34" charset="0"/>
            </a:rPr>
            <a:t> versé par votre employeur s'élève à </a:t>
          </a:r>
          <a:r>
            <a:rPr lang="fr-FR" sz="900" b="1" baseline="0">
              <a:solidFill>
                <a:srgbClr val="FFE97E"/>
              </a:solidFill>
              <a:latin typeface="Arial" panose="020B0604020202020204" pitchFamily="34" charset="0"/>
              <a:cs typeface="Arial" panose="020B0604020202020204" pitchFamily="34" charset="0"/>
            </a:rPr>
            <a:t>60 %</a:t>
          </a:r>
          <a:r>
            <a:rPr lang="fr-FR" sz="900" baseline="0">
              <a:solidFill>
                <a:srgbClr val="FFE97E"/>
              </a:solidFill>
              <a:latin typeface="Arial" panose="020B0604020202020204" pitchFamily="34" charset="0"/>
              <a:cs typeface="Arial" panose="020B0604020202020204" pitchFamily="34" charset="0"/>
            </a:rPr>
            <a:t> </a:t>
          </a:r>
          <a:r>
            <a:rPr lang="fr-FR" sz="900" baseline="0">
              <a:latin typeface="Arial" panose="020B0604020202020204" pitchFamily="34" charset="0"/>
              <a:cs typeface="Arial" panose="020B0604020202020204" pitchFamily="34" charset="0"/>
            </a:rPr>
            <a:t>du montant de votre apport personnel * </a:t>
          </a:r>
          <a:r>
            <a:rPr lang="fr-FR" sz="900" b="1" baseline="0">
              <a:solidFill>
                <a:srgbClr val="FFE97E"/>
              </a:solidFill>
              <a:latin typeface="Arial" panose="020B0604020202020204" pitchFamily="34" charset="0"/>
              <a:cs typeface="Arial" panose="020B0604020202020204" pitchFamily="34" charset="0"/>
            </a:rPr>
            <a:t>jusqu'à 250 €</a:t>
          </a:r>
          <a:endParaRPr lang="fr-FR" sz="750" baseline="0">
            <a:solidFill>
              <a:srgbClr val="FFE97E"/>
            </a:solidFill>
            <a:latin typeface="Arial" panose="020B0604020202020204" pitchFamily="34" charset="0"/>
            <a:cs typeface="Arial" panose="020B0604020202020204" pitchFamily="34" charset="0"/>
          </a:endParaRPr>
        </a:p>
      </xdr:txBody>
    </xdr:sp>
    <xdr:clientData/>
  </xdr:twoCellAnchor>
  <xdr:twoCellAnchor>
    <xdr:from>
      <xdr:col>2</xdr:col>
      <xdr:colOff>25066</xdr:colOff>
      <xdr:row>15</xdr:row>
      <xdr:rowOff>0</xdr:rowOff>
    </xdr:from>
    <xdr:to>
      <xdr:col>2</xdr:col>
      <xdr:colOff>317500</xdr:colOff>
      <xdr:row>16</xdr:row>
      <xdr:rowOff>41777</xdr:rowOff>
    </xdr:to>
    <xdr:sp macro="" textlink="">
      <xdr:nvSpPr>
        <xdr:cNvPr id="2" name="Flèche : droite 1">
          <a:extLst>
            <a:ext uri="{FF2B5EF4-FFF2-40B4-BE49-F238E27FC236}">
              <a16:creationId xmlns:a16="http://schemas.microsoft.com/office/drawing/2014/main" id="{00000000-0008-0000-0000-000002000000}"/>
            </a:ext>
          </a:extLst>
        </xdr:cNvPr>
        <xdr:cNvSpPr/>
      </xdr:nvSpPr>
      <xdr:spPr>
        <a:xfrm>
          <a:off x="526382" y="2523289"/>
          <a:ext cx="292434" cy="200527"/>
        </a:xfrm>
        <a:prstGeom prst="rightArrow">
          <a:avLst>
            <a:gd name="adj1" fmla="val 58975"/>
            <a:gd name="adj2" fmla="val 5000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202531</xdr:colOff>
      <xdr:row>19</xdr:row>
      <xdr:rowOff>16565</xdr:rowOff>
    </xdr:from>
    <xdr:to>
      <xdr:col>19</xdr:col>
      <xdr:colOff>57978</xdr:colOff>
      <xdr:row>62</xdr:row>
      <xdr:rowOff>41777</xdr:rowOff>
    </xdr:to>
    <xdr:sp macro="" textlink="">
      <xdr:nvSpPr>
        <xdr:cNvPr id="47" name="Rectangle : coins arrondis 46">
          <a:extLst>
            <a:ext uri="{FF2B5EF4-FFF2-40B4-BE49-F238E27FC236}">
              <a16:creationId xmlns:a16="http://schemas.microsoft.com/office/drawing/2014/main" id="{00000000-0008-0000-0000-00002F000000}"/>
            </a:ext>
          </a:extLst>
        </xdr:cNvPr>
        <xdr:cNvSpPr/>
      </xdr:nvSpPr>
      <xdr:spPr>
        <a:xfrm>
          <a:off x="202531" y="2923761"/>
          <a:ext cx="9397012" cy="4928516"/>
        </a:xfrm>
        <a:prstGeom prst="roundRect">
          <a:avLst>
            <a:gd name="adj" fmla="val 1117"/>
          </a:avLst>
        </a:prstGeom>
        <a:noFill/>
        <a:ln w="952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9385</xdr:colOff>
      <xdr:row>24</xdr:row>
      <xdr:rowOff>33129</xdr:rowOff>
    </xdr:from>
    <xdr:to>
      <xdr:col>1</xdr:col>
      <xdr:colOff>140803</xdr:colOff>
      <xdr:row>26</xdr:row>
      <xdr:rowOff>16564</xdr:rowOff>
    </xdr:to>
    <xdr:sp macro="" textlink="">
      <xdr:nvSpPr>
        <xdr:cNvPr id="48" name="Flèche : droite 47">
          <a:extLst>
            <a:ext uri="{FF2B5EF4-FFF2-40B4-BE49-F238E27FC236}">
              <a16:creationId xmlns:a16="http://schemas.microsoft.com/office/drawing/2014/main" id="{00000000-0008-0000-0000-000030000000}"/>
            </a:ext>
          </a:extLst>
        </xdr:cNvPr>
        <xdr:cNvSpPr/>
      </xdr:nvSpPr>
      <xdr:spPr>
        <a:xfrm>
          <a:off x="307559" y="3221933"/>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3</xdr:col>
      <xdr:colOff>770283</xdr:colOff>
      <xdr:row>1</xdr:row>
      <xdr:rowOff>8285</xdr:rowOff>
    </xdr:from>
    <xdr:to>
      <xdr:col>4</xdr:col>
      <xdr:colOff>861394</xdr:colOff>
      <xdr:row>2</xdr:row>
      <xdr:rowOff>5932</xdr:rowOff>
    </xdr:to>
    <xdr:pic>
      <xdr:nvPicPr>
        <xdr:cNvPr id="50" name="Imag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8240" y="173937"/>
          <a:ext cx="919371" cy="304104"/>
        </a:xfrm>
        <a:prstGeom prst="rect">
          <a:avLst/>
        </a:prstGeom>
      </xdr:spPr>
    </xdr:pic>
    <xdr:clientData/>
  </xdr:twoCellAnchor>
  <xdr:twoCellAnchor editAs="oneCell">
    <xdr:from>
      <xdr:col>0</xdr:col>
      <xdr:colOff>248477</xdr:colOff>
      <xdr:row>66</xdr:row>
      <xdr:rowOff>24847</xdr:rowOff>
    </xdr:from>
    <xdr:to>
      <xdr:col>3</xdr:col>
      <xdr:colOff>704021</xdr:colOff>
      <xdr:row>67</xdr:row>
      <xdr:rowOff>770281</xdr:rowOff>
    </xdr:to>
    <xdr:pic>
      <xdr:nvPicPr>
        <xdr:cNvPr id="51" name="Image 50">
          <a:extLst>
            <a:ext uri="{FF2B5EF4-FFF2-40B4-BE49-F238E27FC236}">
              <a16:creationId xmlns:a16="http://schemas.microsoft.com/office/drawing/2014/main" id="{00000000-0008-0000-0000-00003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299" t="23243" r="24626" b="53514"/>
        <a:stretch/>
      </xdr:blipFill>
      <xdr:spPr>
        <a:xfrm>
          <a:off x="248477" y="8464825"/>
          <a:ext cx="1333501" cy="803413"/>
        </a:xfrm>
        <a:prstGeom prst="rect">
          <a:avLst/>
        </a:prstGeom>
      </xdr:spPr>
    </xdr:pic>
    <xdr:clientData/>
  </xdr:twoCellAnchor>
  <xdr:twoCellAnchor editAs="oneCell">
    <xdr:from>
      <xdr:col>19</xdr:col>
      <xdr:colOff>149086</xdr:colOff>
      <xdr:row>20</xdr:row>
      <xdr:rowOff>177249</xdr:rowOff>
    </xdr:from>
    <xdr:to>
      <xdr:col>20</xdr:col>
      <xdr:colOff>131860</xdr:colOff>
      <xdr:row>38</xdr:row>
      <xdr:rowOff>14979</xdr:rowOff>
    </xdr:to>
    <xdr:pic>
      <xdr:nvPicPr>
        <xdr:cNvPr id="52" name="Imag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9690651" y="3374336"/>
          <a:ext cx="960122" cy="16184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40</xdr:row>
          <xdr:rowOff>19050</xdr:rowOff>
        </xdr:from>
        <xdr:to>
          <xdr:col>4</xdr:col>
          <xdr:colOff>1619250</xdr:colOff>
          <xdr:row>41</xdr:row>
          <xdr:rowOff>0</xdr:rowOff>
        </xdr:to>
        <xdr:sp macro="" textlink="">
          <xdr:nvSpPr>
            <xdr:cNvPr id="3177" name="ScrollBar2"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16</xdr:col>
      <xdr:colOff>190914</xdr:colOff>
      <xdr:row>1</xdr:row>
      <xdr:rowOff>74546</xdr:rowOff>
    </xdr:from>
    <xdr:to>
      <xdr:col>16</xdr:col>
      <xdr:colOff>828674</xdr:colOff>
      <xdr:row>5</xdr:row>
      <xdr:rowOff>24849</xdr:rowOff>
    </xdr:to>
    <xdr:pic>
      <xdr:nvPicPr>
        <xdr:cNvPr id="21" name="Graphique 20" descr="Jauge avec un remplissage uni">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7670110" y="240198"/>
          <a:ext cx="637760" cy="637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123825</xdr:colOff>
          <xdr:row>40</xdr:row>
          <xdr:rowOff>19050</xdr:rowOff>
        </xdr:from>
        <xdr:to>
          <xdr:col>14</xdr:col>
          <xdr:colOff>428625</xdr:colOff>
          <xdr:row>41</xdr:row>
          <xdr:rowOff>0</xdr:rowOff>
        </xdr:to>
        <xdr:sp macro="" textlink="">
          <xdr:nvSpPr>
            <xdr:cNvPr id="3178" name="ScrollBar1"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836545</xdr:colOff>
      <xdr:row>40</xdr:row>
      <xdr:rowOff>8283</xdr:rowOff>
    </xdr:from>
    <xdr:to>
      <xdr:col>8</xdr:col>
      <xdr:colOff>66261</xdr:colOff>
      <xdr:row>42</xdr:row>
      <xdr:rowOff>99391</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4232415" y="4654826"/>
          <a:ext cx="1027042" cy="323022"/>
        </a:xfrm>
        <a:prstGeom prst="rect">
          <a:avLst/>
        </a:prstGeom>
        <a:solidFill>
          <a:srgbClr val="D2D6E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12698</xdr:colOff>
      <xdr:row>37</xdr:row>
      <xdr:rowOff>44724</xdr:rowOff>
    </xdr:from>
    <xdr:to>
      <xdr:col>1</xdr:col>
      <xdr:colOff>144116</xdr:colOff>
      <xdr:row>39</xdr:row>
      <xdr:rowOff>3312</xdr:rowOff>
    </xdr:to>
    <xdr:sp macro="" textlink="">
      <xdr:nvSpPr>
        <xdr:cNvPr id="24" name="Flèche : droite 23">
          <a:extLst>
            <a:ext uri="{FF2B5EF4-FFF2-40B4-BE49-F238E27FC236}">
              <a16:creationId xmlns:a16="http://schemas.microsoft.com/office/drawing/2014/main" id="{00000000-0008-0000-0000-000018000000}"/>
            </a:ext>
          </a:extLst>
        </xdr:cNvPr>
        <xdr:cNvSpPr/>
      </xdr:nvSpPr>
      <xdr:spPr>
        <a:xfrm>
          <a:off x="310872" y="4409659"/>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7729</xdr:colOff>
      <xdr:row>54</xdr:row>
      <xdr:rowOff>14906</xdr:rowOff>
    </xdr:from>
    <xdr:to>
      <xdr:col>1</xdr:col>
      <xdr:colOff>139147</xdr:colOff>
      <xdr:row>55</xdr:row>
      <xdr:rowOff>139147</xdr:rowOff>
    </xdr:to>
    <xdr:sp macro="" textlink="">
      <xdr:nvSpPr>
        <xdr:cNvPr id="25" name="Flèche : droite 24">
          <a:extLst>
            <a:ext uri="{FF2B5EF4-FFF2-40B4-BE49-F238E27FC236}">
              <a16:creationId xmlns:a16="http://schemas.microsoft.com/office/drawing/2014/main" id="{00000000-0008-0000-0000-000019000000}"/>
            </a:ext>
          </a:extLst>
        </xdr:cNvPr>
        <xdr:cNvSpPr/>
      </xdr:nvSpPr>
      <xdr:spPr>
        <a:xfrm>
          <a:off x="305903" y="5887276"/>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4415</xdr:colOff>
      <xdr:row>30</xdr:row>
      <xdr:rowOff>28159</xdr:rowOff>
    </xdr:from>
    <xdr:to>
      <xdr:col>1</xdr:col>
      <xdr:colOff>135833</xdr:colOff>
      <xdr:row>31</xdr:row>
      <xdr:rowOff>36442</xdr:rowOff>
    </xdr:to>
    <xdr:sp macro="" textlink="">
      <xdr:nvSpPr>
        <xdr:cNvPr id="26" name="Flèche : droite 25">
          <a:extLst>
            <a:ext uri="{FF2B5EF4-FFF2-40B4-BE49-F238E27FC236}">
              <a16:creationId xmlns:a16="http://schemas.microsoft.com/office/drawing/2014/main" id="{00000000-0008-0000-0000-00001A000000}"/>
            </a:ext>
          </a:extLst>
        </xdr:cNvPr>
        <xdr:cNvSpPr/>
      </xdr:nvSpPr>
      <xdr:spPr>
        <a:xfrm>
          <a:off x="302589" y="3705637"/>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19324</xdr:colOff>
      <xdr:row>57</xdr:row>
      <xdr:rowOff>34784</xdr:rowOff>
    </xdr:from>
    <xdr:to>
      <xdr:col>1</xdr:col>
      <xdr:colOff>150742</xdr:colOff>
      <xdr:row>57</xdr:row>
      <xdr:rowOff>225285</xdr:rowOff>
    </xdr:to>
    <xdr:sp macro="" textlink="">
      <xdr:nvSpPr>
        <xdr:cNvPr id="27" name="Flèche : droite 26">
          <a:extLst>
            <a:ext uri="{FF2B5EF4-FFF2-40B4-BE49-F238E27FC236}">
              <a16:creationId xmlns:a16="http://schemas.microsoft.com/office/drawing/2014/main" id="{00000000-0008-0000-0000-00001B000000}"/>
            </a:ext>
          </a:extLst>
        </xdr:cNvPr>
        <xdr:cNvSpPr/>
      </xdr:nvSpPr>
      <xdr:spPr>
        <a:xfrm>
          <a:off x="317498" y="6735414"/>
          <a:ext cx="131418" cy="190501"/>
        </a:xfrm>
        <a:prstGeom prst="rightArrow">
          <a:avLst>
            <a:gd name="adj1" fmla="val 100000"/>
            <a:gd name="adj2" fmla="val 50000"/>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231363</xdr:colOff>
      <xdr:row>37</xdr:row>
      <xdr:rowOff>48037</xdr:rowOff>
    </xdr:from>
    <xdr:to>
      <xdr:col>10</xdr:col>
      <xdr:colOff>56325</xdr:colOff>
      <xdr:row>39</xdr:row>
      <xdr:rowOff>6625</xdr:rowOff>
    </xdr:to>
    <xdr:sp macro="" textlink="">
      <xdr:nvSpPr>
        <xdr:cNvPr id="29" name="Flèche : droite 28">
          <a:extLst>
            <a:ext uri="{FF2B5EF4-FFF2-40B4-BE49-F238E27FC236}">
              <a16:creationId xmlns:a16="http://schemas.microsoft.com/office/drawing/2014/main" id="{00000000-0008-0000-0000-00001D000000}"/>
            </a:ext>
          </a:extLst>
        </xdr:cNvPr>
        <xdr:cNvSpPr/>
      </xdr:nvSpPr>
      <xdr:spPr>
        <a:xfrm>
          <a:off x="5573646" y="4479233"/>
          <a:ext cx="131418" cy="190501"/>
        </a:xfrm>
        <a:prstGeom prst="rightArrow">
          <a:avLst>
            <a:gd name="adj1" fmla="val 10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35200</xdr:colOff>
      <xdr:row>43</xdr:row>
      <xdr:rowOff>24847</xdr:rowOff>
    </xdr:from>
    <xdr:to>
      <xdr:col>8</xdr:col>
      <xdr:colOff>149086</xdr:colOff>
      <xdr:row>45</xdr:row>
      <xdr:rowOff>33131</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342157" y="5532782"/>
          <a:ext cx="1016690" cy="1242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505240</xdr:colOff>
      <xdr:row>0</xdr:row>
      <xdr:rowOff>74544</xdr:rowOff>
    </xdr:from>
    <xdr:to>
      <xdr:col>11</xdr:col>
      <xdr:colOff>265045</xdr:colOff>
      <xdr:row>2</xdr:row>
      <xdr:rowOff>82826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4886740" y="74544"/>
          <a:ext cx="1143001" cy="48039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414128</xdr:colOff>
      <xdr:row>40</xdr:row>
      <xdr:rowOff>132521</xdr:rowOff>
    </xdr:from>
    <xdr:to>
      <xdr:col>7</xdr:col>
      <xdr:colOff>414128</xdr:colOff>
      <xdr:row>45</xdr:row>
      <xdr:rowOff>3847</xdr:rowOff>
    </xdr:to>
    <xdr:cxnSp macro="">
      <xdr:nvCxnSpPr>
        <xdr:cNvPr id="33" name="Connecteur droit avec flèche 32">
          <a:extLst>
            <a:ext uri="{FF2B5EF4-FFF2-40B4-BE49-F238E27FC236}">
              <a16:creationId xmlns:a16="http://schemas.microsoft.com/office/drawing/2014/main" id="{00000000-0008-0000-0000-000021000000}"/>
            </a:ext>
          </a:extLst>
        </xdr:cNvPr>
        <xdr:cNvCxnSpPr/>
      </xdr:nvCxnSpPr>
      <xdr:spPr>
        <a:xfrm>
          <a:off x="4779063" y="4845325"/>
          <a:ext cx="0" cy="393131"/>
        </a:xfrm>
        <a:prstGeom prst="straightConnector1">
          <a:avLst/>
        </a:prstGeom>
        <a:ln w="28575">
          <a:solidFill>
            <a:schemeClr val="accent6">
              <a:lumMod val="75000"/>
            </a:schemeClr>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425724</xdr:colOff>
      <xdr:row>40</xdr:row>
      <xdr:rowOff>144117</xdr:rowOff>
    </xdr:from>
    <xdr:to>
      <xdr:col>16</xdr:col>
      <xdr:colOff>425724</xdr:colOff>
      <xdr:row>45</xdr:row>
      <xdr:rowOff>15443</xdr:rowOff>
    </xdr:to>
    <xdr:cxnSp macro="">
      <xdr:nvCxnSpPr>
        <xdr:cNvPr id="34" name="Connecteur droit avec flèche 33">
          <a:extLst>
            <a:ext uri="{FF2B5EF4-FFF2-40B4-BE49-F238E27FC236}">
              <a16:creationId xmlns:a16="http://schemas.microsoft.com/office/drawing/2014/main" id="{00000000-0008-0000-0000-000022000000}"/>
            </a:ext>
          </a:extLst>
        </xdr:cNvPr>
        <xdr:cNvCxnSpPr/>
      </xdr:nvCxnSpPr>
      <xdr:spPr>
        <a:xfrm>
          <a:off x="8865702" y="4856921"/>
          <a:ext cx="0" cy="393131"/>
        </a:xfrm>
        <a:prstGeom prst="straightConnector1">
          <a:avLst/>
        </a:prstGeom>
        <a:ln w="28575">
          <a:solidFill>
            <a:schemeClr val="accent6">
              <a:lumMod val="75000"/>
            </a:schemeClr>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679175</xdr:colOff>
      <xdr:row>68</xdr:row>
      <xdr:rowOff>24849</xdr:rowOff>
    </xdr:from>
    <xdr:to>
      <xdr:col>9</xdr:col>
      <xdr:colOff>91109</xdr:colOff>
      <xdr:row>71</xdr:row>
      <xdr:rowOff>66261</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4373218" y="9334501"/>
          <a:ext cx="1275521" cy="46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298174</xdr:colOff>
      <xdr:row>1</xdr:row>
      <xdr:rowOff>33131</xdr:rowOff>
    </xdr:from>
    <xdr:to>
      <xdr:col>5</xdr:col>
      <xdr:colOff>803413</xdr:colOff>
      <xdr:row>5</xdr:row>
      <xdr:rowOff>24848</xdr:rowOff>
    </xdr:to>
    <xdr:sp macro="[0]!AdaptToCountry" textlink="">
      <xdr:nvSpPr>
        <xdr:cNvPr id="2" name="Rectangle : coins arrondis 1">
          <a:extLst>
            <a:ext uri="{FF2B5EF4-FFF2-40B4-BE49-F238E27FC236}">
              <a16:creationId xmlns:a16="http://schemas.microsoft.com/office/drawing/2014/main" id="{00000000-0008-0000-0100-000002000000}"/>
            </a:ext>
          </a:extLst>
        </xdr:cNvPr>
        <xdr:cNvSpPr/>
      </xdr:nvSpPr>
      <xdr:spPr>
        <a:xfrm>
          <a:off x="3097696" y="173935"/>
          <a:ext cx="2029239" cy="554935"/>
        </a:xfrm>
        <a:prstGeom prst="roundRect">
          <a:avLst/>
        </a:prstGeom>
        <a:solidFill>
          <a:schemeClr val="accent4"/>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100" b="1">
              <a:latin typeface="Arial" panose="020B0604020202020204" pitchFamily="34" charset="0"/>
              <a:cs typeface="Arial" panose="020B0604020202020204" pitchFamily="34" charset="0"/>
            </a:rPr>
            <a:t>Adapter</a:t>
          </a:r>
          <a:r>
            <a:rPr lang="fr-FR" sz="1100" b="1" baseline="0">
              <a:latin typeface="Arial" panose="020B0604020202020204" pitchFamily="34" charset="0"/>
              <a:cs typeface="Arial" panose="020B0604020202020204" pitchFamily="34" charset="0"/>
            </a:rPr>
            <a:t> le simulateur</a:t>
          </a:r>
        </a:p>
      </xdr:txBody>
    </xdr:sp>
    <xdr:clientData/>
  </xdr:twoCellAnchor>
  <xdr:twoCellAnchor>
    <xdr:from>
      <xdr:col>3</xdr:col>
      <xdr:colOff>298174</xdr:colOff>
      <xdr:row>5</xdr:row>
      <xdr:rowOff>66260</xdr:rowOff>
    </xdr:from>
    <xdr:to>
      <xdr:col>5</xdr:col>
      <xdr:colOff>803413</xdr:colOff>
      <xdr:row>7</xdr:row>
      <xdr:rowOff>46381</xdr:rowOff>
    </xdr:to>
    <xdr:sp macro="[0]!ResetData" textlink="">
      <xdr:nvSpPr>
        <xdr:cNvPr id="3" name="Rectangle : coins arrondis 2">
          <a:extLst>
            <a:ext uri="{FF2B5EF4-FFF2-40B4-BE49-F238E27FC236}">
              <a16:creationId xmlns:a16="http://schemas.microsoft.com/office/drawing/2014/main" id="{00000000-0008-0000-0100-000003000000}"/>
            </a:ext>
          </a:extLst>
        </xdr:cNvPr>
        <xdr:cNvSpPr/>
      </xdr:nvSpPr>
      <xdr:spPr>
        <a:xfrm>
          <a:off x="3097696" y="770282"/>
          <a:ext cx="2029239" cy="261729"/>
        </a:xfrm>
        <a:prstGeom prst="roundRect">
          <a:avLst>
            <a:gd name="adj" fmla="val 29325"/>
          </a:avLst>
        </a:prstGeom>
        <a:solidFill>
          <a:schemeClr val="accent4"/>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fr-FR" sz="1100" b="1" baseline="0">
              <a:latin typeface="Arial" panose="020B0604020202020204" pitchFamily="34" charset="0"/>
              <a:cs typeface="Arial" panose="020B0604020202020204" pitchFamily="34" charset="0"/>
            </a:rPr>
            <a:t>Reset Main</a:t>
          </a:r>
        </a:p>
      </xdr:txBody>
    </xdr:sp>
    <xdr:clientData/>
  </xdr:twoCellAnchor>
  <xdr:twoCellAnchor>
    <xdr:from>
      <xdr:col>6</xdr:col>
      <xdr:colOff>33130</xdr:colOff>
      <xdr:row>1</xdr:row>
      <xdr:rowOff>66261</xdr:rowOff>
    </xdr:from>
    <xdr:to>
      <xdr:col>8</xdr:col>
      <xdr:colOff>488674</xdr:colOff>
      <xdr:row>6</xdr:row>
      <xdr:rowOff>49695</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5300869" y="207065"/>
          <a:ext cx="2948609" cy="6874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0" rtlCol="0" anchor="t"/>
        <a:lstStyle/>
        <a:p>
          <a:r>
            <a:rPr lang="fr-FR" sz="1100">
              <a:solidFill>
                <a:srgbClr val="FF0000"/>
              </a:solidFill>
            </a:rPr>
            <a:t>copier le message en Text!F14 et le coller</a:t>
          </a:r>
          <a:r>
            <a:rPr lang="fr-FR" sz="1100" baseline="0">
              <a:solidFill>
                <a:srgbClr val="FF0000"/>
              </a:solidFill>
            </a:rPr>
            <a:t> dans l'infobulle sur la rémunération annuelle brute</a:t>
          </a:r>
          <a:endParaRPr lang="fr-FR" sz="1100">
            <a:solidFill>
              <a:srgbClr val="FF0000"/>
            </a:solidFill>
          </a:endParaRPr>
        </a:p>
      </xdr:txBody>
    </xdr:sp>
    <xdr:clientData/>
  </xdr:twoCellAnchor>
  <xdr:twoCellAnchor editAs="oneCell">
    <xdr:from>
      <xdr:col>6</xdr:col>
      <xdr:colOff>132521</xdr:colOff>
      <xdr:row>2</xdr:row>
      <xdr:rowOff>66261</xdr:rowOff>
    </xdr:from>
    <xdr:to>
      <xdr:col>6</xdr:col>
      <xdr:colOff>447259</xdr:colOff>
      <xdr:row>4</xdr:row>
      <xdr:rowOff>99391</xdr:rowOff>
    </xdr:to>
    <xdr:pic>
      <xdr:nvPicPr>
        <xdr:cNvPr id="5" name="Graphique 4" descr="Avertissement avec un remplissage uni">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00260" y="347870"/>
          <a:ext cx="314738" cy="314738"/>
        </a:xfrm>
        <a:prstGeom prst="rect">
          <a:avLst/>
        </a:prstGeom>
      </xdr:spPr>
    </xdr:pic>
    <xdr:clientData/>
  </xdr:twoCellAnchor>
</xdr:wsDr>
</file>

<file path=xl/theme/theme1.xml><?xml version="1.0" encoding="utf-8"?>
<a:theme xmlns:a="http://schemas.openxmlformats.org/drawingml/2006/main" name="Thème Office">
  <a:themeElements>
    <a:clrScheme name="Nexans">
      <a:dk1>
        <a:srgbClr val="000000"/>
      </a:dk1>
      <a:lt1>
        <a:sysClr val="window" lastClr="FFFFFF"/>
      </a:lt1>
      <a:dk2>
        <a:srgbClr val="212745"/>
      </a:dk2>
      <a:lt2>
        <a:srgbClr val="7098B1"/>
      </a:lt2>
      <a:accent1>
        <a:srgbClr val="B9D9EA"/>
      </a:accent1>
      <a:accent2>
        <a:srgbClr val="FFE97E"/>
      </a:accent2>
      <a:accent3>
        <a:srgbClr val="FF8021"/>
      </a:accent3>
      <a:accent4>
        <a:srgbClr val="F14124"/>
      </a:accent4>
      <a:accent5>
        <a:srgbClr val="E82319"/>
      </a:accent5>
      <a:accent6>
        <a:srgbClr val="D8D8D8"/>
      </a:accent6>
      <a:hlink>
        <a:srgbClr val="385DAA"/>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autoPageBreaks="0"/>
  </sheetPr>
  <dimension ref="A1:V88"/>
  <sheetViews>
    <sheetView showRowColHeaders="0" tabSelected="1" zoomScale="115" zoomScaleNormal="115" workbookViewId="0">
      <selection activeCell="J2" sqref="J2"/>
    </sheetView>
  </sheetViews>
  <sheetFormatPr baseColWidth="10" defaultColWidth="12" defaultRowHeight="11.25" x14ac:dyDescent="0.2"/>
  <cols>
    <col min="1" max="1" width="5.1640625" style="3" customWidth="1"/>
    <col min="2" max="2" width="3.6640625" style="3" customWidth="1"/>
    <col min="3" max="3" width="6.5" style="3" customWidth="1"/>
    <col min="4" max="4" width="14.5" style="3" customWidth="1"/>
    <col min="5" max="5" width="34.83203125" style="3" customWidth="1"/>
    <col min="6" max="6" width="13.5" style="3" customWidth="1"/>
    <col min="7" max="7" width="1.33203125" style="3" customWidth="1"/>
    <col min="8" max="8" width="15.1640625" style="3" customWidth="1"/>
    <col min="9" max="9" width="2.6640625" style="3" customWidth="1"/>
    <col min="10" max="10" width="5.33203125" style="3" customWidth="1"/>
    <col min="11" max="11" width="1.6640625" style="3" customWidth="1"/>
    <col min="12" max="12" width="13.33203125" style="3" customWidth="1"/>
    <col min="13" max="13" width="7.33203125" style="3" customWidth="1"/>
    <col min="14" max="14" width="17" style="3" customWidth="1"/>
    <col min="15" max="15" width="8.1640625" style="3" customWidth="1"/>
    <col min="16" max="16" width="1.33203125" style="3" customWidth="1"/>
    <col min="17" max="17" width="15.1640625" style="3" customWidth="1"/>
    <col min="18" max="18" width="2.5" style="3" customWidth="1"/>
    <col min="19" max="19" width="1.33203125" style="3" customWidth="1"/>
    <col min="20" max="20" width="17.1640625" style="3" customWidth="1"/>
    <col min="21" max="21" width="16.6640625" style="3" customWidth="1"/>
    <col min="22" max="26" width="12" style="3"/>
    <col min="27" max="27" width="19.1640625" style="3" bestFit="1" customWidth="1"/>
    <col min="28" max="28" width="1.6640625" style="3" customWidth="1"/>
    <col min="29" max="29" width="18.5" style="3" customWidth="1"/>
    <col min="30" max="16384" width="12" style="3"/>
  </cols>
  <sheetData>
    <row r="1" spans="2:21" ht="12.75" customHeight="1" x14ac:dyDescent="0.2"/>
    <row r="2" spans="2:21" s="2" customFormat="1" ht="24" customHeight="1" x14ac:dyDescent="0.2">
      <c r="B2" s="57" t="str">
        <f>Text!B3</f>
        <v>SIMULADOR</v>
      </c>
      <c r="C2" s="46"/>
      <c r="D2" s="47"/>
      <c r="F2" s="46"/>
      <c r="G2" s="46"/>
      <c r="H2" s="46"/>
      <c r="I2" s="46"/>
      <c r="J2" s="56"/>
      <c r="K2" s="48"/>
      <c r="L2" s="48"/>
      <c r="M2" s="48"/>
      <c r="N2" s="48"/>
      <c r="O2" s="48"/>
      <c r="P2" s="48"/>
      <c r="Q2" s="48"/>
      <c r="R2" s="48"/>
      <c r="S2" s="46"/>
    </row>
    <row r="3" spans="2:21" ht="13.5" customHeight="1" x14ac:dyDescent="0.2"/>
    <row r="4" spans="2:21" x14ac:dyDescent="0.2">
      <c r="B4" s="16" t="str">
        <f>Text!B4</f>
        <v>Este simulador te permite hacer una estimación de la cantidad que puedes invertir en Act 2022 y el resultado de tu inversión:</v>
      </c>
    </row>
    <row r="5" spans="2:21" ht="5.25" customHeight="1" x14ac:dyDescent="0.2">
      <c r="B5" s="16"/>
    </row>
    <row r="6" spans="2:21" ht="6.75" customHeight="1" x14ac:dyDescent="0.2"/>
    <row r="7" spans="2:21" ht="18" x14ac:dyDescent="0.25">
      <c r="B7" s="53" t="str">
        <f>Text!B6</f>
        <v>¿CUÁNTO PUEDES INVERTIR EN ACT 2022?</v>
      </c>
      <c r="C7" s="54"/>
      <c r="D7" s="54"/>
      <c r="E7" s="54"/>
      <c r="F7" s="54"/>
      <c r="G7" s="54"/>
      <c r="H7" s="54"/>
      <c r="I7" s="54"/>
      <c r="J7" s="54"/>
      <c r="K7" s="54"/>
      <c r="L7" s="54"/>
      <c r="M7" s="54"/>
      <c r="N7" s="54"/>
      <c r="O7" s="54"/>
      <c r="P7" s="54"/>
      <c r="Q7" s="54"/>
      <c r="R7" s="54"/>
    </row>
    <row r="8" spans="2:21" ht="6" customHeight="1" x14ac:dyDescent="0.2">
      <c r="U8" s="49"/>
    </row>
    <row r="9" spans="2:21" ht="22.5" customHeight="1" x14ac:dyDescent="0.2">
      <c r="C9" s="248" t="str">
        <f>Text!B7</f>
        <v>En Act 2022 puedes invertir como máximo el 25 % de tu remuneración anual bruta estimada para el 2022, teniendo en cuenta la contribución del banco. 
Para obtener información más detallada, consulta el folleto "Act 2022".</v>
      </c>
      <c r="D9" s="248"/>
      <c r="E9" s="248"/>
      <c r="F9" s="248"/>
      <c r="G9" s="248"/>
      <c r="H9" s="248"/>
      <c r="I9" s="248"/>
      <c r="J9" s="248"/>
      <c r="K9" s="248"/>
      <c r="L9" s="248"/>
      <c r="M9" s="248"/>
      <c r="N9" s="248"/>
      <c r="O9" s="76"/>
      <c r="P9" s="76"/>
      <c r="Q9" s="76"/>
      <c r="R9" s="76"/>
      <c r="S9" s="76"/>
    </row>
    <row r="10" spans="2:21" ht="4.5" customHeight="1" x14ac:dyDescent="0.2">
      <c r="U10" s="49"/>
    </row>
    <row r="11" spans="2:21" ht="21" customHeight="1" x14ac:dyDescent="0.2">
      <c r="C11" s="250" t="str">
        <f>Text!B12</f>
        <v xml:space="preserve">Para saber cuál es el importe máximo que puedes invertir en Act 2022, introduce el importe correspondiente a tu remuneración anual bruta estimada para el 2022 (incluyendo bonos y primas): </v>
      </c>
      <c r="D11" s="250"/>
      <c r="E11" s="250"/>
      <c r="F11" s="250"/>
      <c r="G11" s="250"/>
      <c r="H11" s="250"/>
      <c r="I11" s="250"/>
      <c r="J11" s="250"/>
      <c r="K11" s="250"/>
      <c r="L11" s="250"/>
      <c r="M11" s="250"/>
      <c r="N11" s="250"/>
      <c r="O11" s="250"/>
      <c r="P11" s="74"/>
      <c r="Q11" s="236"/>
      <c r="R11" s="112"/>
      <c r="S11" s="74"/>
    </row>
    <row r="12" spans="2:21" ht="3.75" customHeight="1" x14ac:dyDescent="0.2">
      <c r="C12" s="97"/>
      <c r="D12" s="97"/>
      <c r="E12" s="97"/>
      <c r="F12" s="97"/>
      <c r="G12" s="97"/>
      <c r="H12" s="97"/>
      <c r="I12" s="97"/>
      <c r="J12" s="97"/>
      <c r="K12" s="97"/>
      <c r="S12" s="74"/>
    </row>
    <row r="13" spans="2:21" x14ac:dyDescent="0.2">
      <c r="B13" s="251" t="str">
        <f>Text!B10</f>
        <v>o</v>
      </c>
      <c r="C13" s="226" t="str">
        <f>Text!B9</f>
        <v>haces una reserva durante el período de reserva (del 9 al 24 de mayo de 2022)</v>
      </c>
      <c r="D13" s="225"/>
      <c r="E13" s="225"/>
      <c r="F13" s="225"/>
      <c r="G13" s="225"/>
      <c r="H13" s="225"/>
      <c r="I13" s="225"/>
      <c r="J13" s="225"/>
      <c r="K13" s="225"/>
      <c r="L13" s="225"/>
      <c r="M13" s="225"/>
      <c r="N13" s="225"/>
      <c r="O13" s="225"/>
      <c r="S13" s="17"/>
    </row>
    <row r="14" spans="2:21" x14ac:dyDescent="0.2">
      <c r="B14" s="251"/>
      <c r="C14" s="226" t="str">
        <f>Text!B11</f>
        <v>no has reservado durante el período de reserva y quieres suscribirte durante el período de suscripción/revocación (del 23 al 28 de junio de 2022)</v>
      </c>
      <c r="E14" s="17"/>
      <c r="F14" s="17"/>
      <c r="S14" s="17"/>
      <c r="U14" s="60"/>
    </row>
    <row r="15" spans="2:21" x14ac:dyDescent="0.2">
      <c r="C15" s="229" t="str">
        <f>IF(D84=TRUE,VBAmsg0,"")</f>
        <v/>
      </c>
      <c r="D15" s="4"/>
      <c r="E15" s="4"/>
      <c r="J15" s="4"/>
      <c r="K15" s="4"/>
      <c r="M15" s="55"/>
      <c r="N15" s="55"/>
      <c r="O15" s="55"/>
      <c r="P15" s="55"/>
      <c r="Q15" s="55"/>
      <c r="R15" s="55"/>
      <c r="U15" s="60"/>
    </row>
    <row r="16" spans="2:21" ht="14.25" customHeight="1" x14ac:dyDescent="0.2">
      <c r="D16" s="28" t="str">
        <f>Text!B16</f>
        <v xml:space="preserve">Por lo tanto, tu aportación personal máxima en Act 2022 es de: </v>
      </c>
      <c r="E16" s="17"/>
      <c r="J16" s="50"/>
      <c r="K16" s="50"/>
      <c r="N16" s="59"/>
      <c r="O16" s="59"/>
      <c r="P16" s="59"/>
      <c r="Q16" s="237" t="str">
        <f>IF(RAB="","",IF(Periode_Reservation=TRUE,PlafondPEE,MIN(PlafondPEE,Plafond_période2)))</f>
        <v/>
      </c>
      <c r="R16" s="106"/>
      <c r="U16" s="60"/>
    </row>
    <row r="17" spans="2:22" ht="12" customHeight="1" x14ac:dyDescent="0.2">
      <c r="D17" s="28"/>
      <c r="E17" s="17"/>
      <c r="J17" s="50"/>
      <c r="K17" s="50"/>
      <c r="L17" s="50"/>
      <c r="M17" s="50"/>
      <c r="N17" s="50"/>
      <c r="O17" s="50"/>
      <c r="P17" s="50"/>
      <c r="Q17" s="50"/>
      <c r="R17" s="50"/>
      <c r="S17" s="17"/>
    </row>
    <row r="18" spans="2:22" ht="4.5" customHeight="1" x14ac:dyDescent="0.2">
      <c r="D18" s="28"/>
      <c r="E18" s="17"/>
      <c r="J18" s="50"/>
      <c r="K18" s="50"/>
      <c r="L18" s="50"/>
      <c r="M18" s="50"/>
      <c r="N18" s="50"/>
      <c r="O18" s="50"/>
      <c r="P18" s="50"/>
      <c r="Q18" s="50"/>
      <c r="R18" s="50"/>
      <c r="S18" s="17"/>
    </row>
    <row r="19" spans="2:22" ht="21.75" customHeight="1" x14ac:dyDescent="0.2">
      <c r="B19" s="227" t="str">
        <f>IF(OR(PlafondApport&lt;APmin_devise,AND(Apport&lt;&gt;"",RAB=""),Apport&gt;PlafondApport),-100,"")</f>
        <v/>
      </c>
      <c r="C19" s="252" t="str">
        <f>IF(PlafondApport&lt;APmin_devise,VBAmsg1,IF(AND(RAB&lt;&gt;"",Apport=""),VBAmsg2,IF(AND(Apport&lt;&gt;"",RAB=""),VBAmsg5,IF(Apport&gt;PlafondApport,VBAmsg4,""))))</f>
        <v/>
      </c>
      <c r="D19" s="252"/>
      <c r="E19" s="252"/>
      <c r="F19" s="252"/>
      <c r="G19" s="252"/>
      <c r="H19" s="252"/>
      <c r="I19" s="252"/>
      <c r="J19" s="252"/>
      <c r="K19" s="252"/>
      <c r="L19" s="252"/>
      <c r="M19" s="252"/>
      <c r="N19" s="252"/>
      <c r="O19" s="252"/>
      <c r="P19" s="252"/>
      <c r="Q19" s="252"/>
      <c r="R19" s="50"/>
      <c r="S19" s="17"/>
    </row>
    <row r="20" spans="2:22" ht="8.25" customHeight="1" x14ac:dyDescent="0.2">
      <c r="V20" s="49"/>
    </row>
    <row r="21" spans="2:22" s="2" customFormat="1" ht="17.25" customHeight="1" x14ac:dyDescent="0.25">
      <c r="B21" s="53" t="str">
        <f>Text!B18</f>
        <v>¿CUÁNTO PUEDE GENERAR UNA INVERSIÓN EN ACT 2022?</v>
      </c>
      <c r="C21" s="54"/>
      <c r="D21" s="54"/>
      <c r="E21" s="54"/>
      <c r="F21" s="54"/>
      <c r="G21" s="54"/>
      <c r="H21" s="54"/>
      <c r="I21" s="54"/>
      <c r="J21" s="54"/>
      <c r="K21" s="54"/>
      <c r="L21" s="54"/>
      <c r="M21" s="54"/>
      <c r="N21" s="54"/>
      <c r="O21" s="54"/>
      <c r="P21" s="54"/>
      <c r="Q21" s="54"/>
      <c r="R21" s="54"/>
      <c r="S21" s="4"/>
    </row>
    <row r="22" spans="2:22" ht="6" customHeight="1" x14ac:dyDescent="0.2">
      <c r="C22" s="14"/>
      <c r="D22" s="4"/>
      <c r="E22" s="4"/>
      <c r="F22" s="4"/>
      <c r="G22" s="4"/>
      <c r="H22" s="4"/>
      <c r="I22" s="4"/>
      <c r="J22" s="4"/>
      <c r="K22" s="4"/>
      <c r="L22" s="4"/>
      <c r="M22" s="4"/>
      <c r="N22" s="4"/>
      <c r="O22" s="4"/>
      <c r="P22" s="4"/>
      <c r="Q22" s="4"/>
      <c r="R22" s="4"/>
      <c r="S22" s="4"/>
    </row>
    <row r="23" spans="2:22" x14ac:dyDescent="0.2">
      <c r="C23" s="15" t="str">
        <f>Text!B19</f>
        <v>A continuación aparece cómo calcular el posible importe que podrías recibir al final del plan, en función de la evolución del precio de la acción de Nexans:</v>
      </c>
      <c r="D23" s="15"/>
      <c r="E23" s="15"/>
    </row>
    <row r="24" spans="2:22" ht="4.5" customHeight="1" x14ac:dyDescent="0.2">
      <c r="C24" s="16"/>
    </row>
    <row r="25" spans="2:22" s="2" customFormat="1" ht="5.25" customHeight="1" x14ac:dyDescent="0.2">
      <c r="C25" s="254" t="str">
        <f>Text!B20</f>
        <v>Importe de tu aportación personal invertida en el compartimento 
"Nexans Plus 2022 A":</v>
      </c>
      <c r="D25" s="254"/>
      <c r="E25" s="254"/>
      <c r="F25" s="254"/>
      <c r="H25" s="260"/>
      <c r="I25" s="113"/>
      <c r="L25" s="255" t="str">
        <f>Text!B22</f>
        <v>Contribución equivalente de la empresa invertida en el fondo "Actionnariat Nexans":</v>
      </c>
      <c r="M25" s="255"/>
      <c r="N25" s="255"/>
      <c r="O25" s="255"/>
      <c r="P25" s="3"/>
      <c r="Q25" s="263" t="str">
        <f>IF(Q33="","",Q33/IF(Currency_par="Ccy/EUR",Hyp_initialFX,1/Hyp_initialFX))</f>
        <v/>
      </c>
      <c r="R25" s="106"/>
    </row>
    <row r="26" spans="2:22" s="2" customFormat="1" x14ac:dyDescent="0.2">
      <c r="C26" s="254"/>
      <c r="D26" s="254"/>
      <c r="E26" s="254"/>
      <c r="F26" s="254"/>
      <c r="H26" s="261"/>
      <c r="I26" s="114"/>
      <c r="L26" s="255"/>
      <c r="M26" s="255"/>
      <c r="N26" s="255"/>
      <c r="O26" s="255"/>
      <c r="P26" s="3"/>
      <c r="Q26" s="264"/>
      <c r="R26" s="107"/>
    </row>
    <row r="27" spans="2:22" s="2" customFormat="1" ht="5.25" customHeight="1" x14ac:dyDescent="0.2">
      <c r="C27" s="254"/>
      <c r="D27" s="254"/>
      <c r="E27" s="254"/>
      <c r="F27" s="254"/>
      <c r="H27" s="262"/>
      <c r="I27" s="114"/>
      <c r="L27" s="255"/>
      <c r="M27" s="255"/>
      <c r="N27" s="255"/>
      <c r="O27" s="255"/>
      <c r="P27" s="3"/>
      <c r="Q27" s="265"/>
      <c r="R27" s="107"/>
    </row>
    <row r="28" spans="2:22" ht="2.25" customHeight="1" x14ac:dyDescent="0.2">
      <c r="C28" s="16"/>
    </row>
    <row r="29" spans="2:22" x14ac:dyDescent="0.2">
      <c r="C29" s="31" t="str">
        <f>Text!B21</f>
        <v>En % del límite</v>
      </c>
      <c r="D29" s="32"/>
      <c r="G29" s="32"/>
      <c r="H29" s="26" t="str">
        <f>IF(OR(RAB="",Apport=0),"",Apport/PlafondApport)</f>
        <v/>
      </c>
      <c r="I29" s="26"/>
      <c r="L29" s="31" t="str">
        <f>IF(Currency_code="EUR",C29,"")</f>
        <v/>
      </c>
      <c r="M29" s="26"/>
      <c r="N29" s="26"/>
      <c r="O29" s="26"/>
      <c r="P29" s="26"/>
      <c r="Q29" s="26" t="str">
        <f>IF(Currency_code="EUR",IF(Q25="","",Q25/Data!F24),"")</f>
        <v/>
      </c>
      <c r="R29" s="26"/>
      <c r="S29" s="25"/>
      <c r="V29" s="49"/>
    </row>
    <row r="30" spans="2:22" ht="3.75" customHeight="1" x14ac:dyDescent="0.2">
      <c r="C30" s="16"/>
    </row>
    <row r="31" spans="2:22" ht="14.25" customHeight="1" x14ac:dyDescent="0.2">
      <c r="C31" s="284" t="str">
        <f>Text!B23</f>
        <v>Si el tipo de cambio Sol Peruano/Euro inicial es:</v>
      </c>
      <c r="D31" s="2"/>
      <c r="E31" s="2"/>
      <c r="F31" s="47" t="str">
        <f>"1 "&amp;IF(Currency_par="Ccy/EUR",Currency_code,"EUR")&amp;" ="</f>
        <v>1 PEN =</v>
      </c>
      <c r="G31" s="2"/>
      <c r="H31" s="240">
        <v>0.25</v>
      </c>
      <c r="I31" s="285" t="str">
        <f>IF(Hyp_initialFX="",VBAmsg6,"")</f>
        <v/>
      </c>
      <c r="J31" s="228"/>
      <c r="K31" s="2"/>
      <c r="L31" s="2"/>
      <c r="M31" s="2"/>
    </row>
    <row r="32" spans="2:22" ht="6" customHeight="1" x14ac:dyDescent="0.2">
      <c r="C32" s="16"/>
    </row>
    <row r="33" spans="1:21" ht="14.25" customHeight="1" x14ac:dyDescent="0.2">
      <c r="C33" s="16" t="str">
        <f>Text!B24</f>
        <v>Entonces, convertido a Euros, su contribución personal es:</v>
      </c>
      <c r="H33" s="187" t="str">
        <f>IF(OR(Apport="",Hyp_initialFX="",AND(Apport&lt;&gt;"",RAB=""),C19&lt;&gt;""),"",Apport*IF(Currency_par="Ccy/EUR",Hyp_initialFX,1/Hyp_initialFX))</f>
        <v/>
      </c>
      <c r="I33" s="103"/>
      <c r="L33" s="3" t="str">
        <f>Text!B25</f>
        <v>y la contribución equivalente de la empresa en Euros es:</v>
      </c>
      <c r="Q33" s="187" t="str">
        <f>IF(H33="","",IF(H33&gt;=Data!$D$22,Data!$F$22+IF(H33&gt;Data!$D$23,Data!$F$23,(H33-Data!$C$23)*Data!$E$23),Data!$E$22*H33))</f>
        <v/>
      </c>
      <c r="R33" s="103"/>
    </row>
    <row r="34" spans="1:21" ht="2.25" customHeight="1" x14ac:dyDescent="0.2">
      <c r="C34" s="16"/>
      <c r="H34" s="75"/>
      <c r="I34" s="75"/>
      <c r="Q34" s="75"/>
      <c r="R34" s="75"/>
    </row>
    <row r="35" spans="1:21" ht="9.75" customHeight="1" x14ac:dyDescent="0.2">
      <c r="C35" s="222" t="str">
        <f>Text!B26</f>
        <v>Aportación personal mínima = 10 €</v>
      </c>
      <c r="L35" s="31" t="str">
        <f>C29</f>
        <v>En % del límite</v>
      </c>
      <c r="Q35" s="26" t="str">
        <f>IF(Q33="","",Q33/Data!F24)</f>
        <v/>
      </c>
      <c r="R35" s="26"/>
    </row>
    <row r="36" spans="1:21" ht="4.5" customHeight="1" x14ac:dyDescent="0.2">
      <c r="C36" s="65"/>
      <c r="D36" s="66"/>
      <c r="E36" s="66"/>
      <c r="F36" s="66"/>
      <c r="G36" s="66"/>
      <c r="H36" s="66"/>
      <c r="I36" s="66"/>
      <c r="J36" s="66"/>
      <c r="K36" s="66"/>
      <c r="L36" s="66"/>
      <c r="M36" s="66"/>
      <c r="N36" s="66"/>
      <c r="O36" s="66"/>
      <c r="P36" s="66"/>
      <c r="Q36" s="66"/>
      <c r="R36" s="66"/>
    </row>
    <row r="37" spans="1:21" ht="8.25" customHeight="1" x14ac:dyDescent="0.2">
      <c r="C37" s="16"/>
    </row>
    <row r="38" spans="1:21" ht="3.75" customHeight="1" x14ac:dyDescent="0.2">
      <c r="C38" s="257" t="str">
        <f>Text!B27</f>
        <v>Si el incremento promedio protegido de la acción de Nexans a lo largo de 5 años es:</v>
      </c>
      <c r="D38" s="257"/>
      <c r="E38" s="257"/>
      <c r="F38" s="257"/>
      <c r="G38" s="175"/>
      <c r="H38" s="175"/>
      <c r="I38" s="175"/>
      <c r="L38" s="258" t="str">
        <f>Text!B28</f>
        <v>Si la evolución del precio de la acción de Nexans al final de los 5 años del período de bloqueo es:</v>
      </c>
      <c r="M38" s="258"/>
      <c r="N38" s="258"/>
      <c r="O38" s="258"/>
      <c r="P38" s="176"/>
      <c r="Q38" s="175"/>
      <c r="R38" s="175"/>
    </row>
    <row r="39" spans="1:21" ht="14.25" customHeight="1" x14ac:dyDescent="0.2">
      <c r="C39" s="257"/>
      <c r="D39" s="257"/>
      <c r="E39" s="257"/>
      <c r="F39" s="257"/>
      <c r="G39" s="168"/>
      <c r="H39" s="242">
        <f>ScrollValue_CMF/100</f>
        <v>0</v>
      </c>
      <c r="I39" s="174" t="s">
        <v>91</v>
      </c>
      <c r="L39" s="258"/>
      <c r="M39" s="258"/>
      <c r="N39" s="258"/>
      <c r="O39" s="258"/>
      <c r="P39" s="176"/>
      <c r="Q39" s="242">
        <f>(ScrollValue_CF-100)/100</f>
        <v>0</v>
      </c>
      <c r="R39" s="174" t="s">
        <v>91</v>
      </c>
    </row>
    <row r="40" spans="1:21" ht="3.75" customHeight="1" x14ac:dyDescent="0.2">
      <c r="C40" s="257"/>
      <c r="D40" s="257"/>
      <c r="E40" s="257"/>
      <c r="F40" s="257"/>
      <c r="G40" s="168"/>
      <c r="H40" s="169"/>
      <c r="I40" s="169"/>
      <c r="L40" s="258"/>
      <c r="M40" s="258"/>
      <c r="N40" s="258"/>
      <c r="O40" s="258"/>
      <c r="P40" s="176"/>
      <c r="Q40" s="169"/>
      <c r="R40" s="169"/>
    </row>
    <row r="41" spans="1:21" ht="15" customHeight="1" x14ac:dyDescent="0.2">
      <c r="C41" s="170"/>
      <c r="D41" s="170"/>
      <c r="E41" s="170"/>
      <c r="F41" s="171"/>
      <c r="G41" s="171"/>
      <c r="H41" s="171"/>
      <c r="I41" s="171"/>
      <c r="L41" s="169"/>
      <c r="M41" s="169"/>
      <c r="N41" s="169"/>
      <c r="O41" s="169"/>
      <c r="P41" s="169"/>
      <c r="Q41" s="169"/>
      <c r="R41" s="169"/>
    </row>
    <row r="42" spans="1:21" ht="5.25" customHeight="1" x14ac:dyDescent="0.2">
      <c r="C42" s="170"/>
      <c r="D42" s="170"/>
      <c r="E42" s="170"/>
      <c r="F42" s="171"/>
      <c r="G42" s="171"/>
      <c r="H42" s="171"/>
      <c r="I42" s="171"/>
      <c r="L42" s="169"/>
      <c r="M42" s="169"/>
      <c r="N42" s="169"/>
      <c r="O42" s="169"/>
      <c r="P42" s="169"/>
      <c r="Q42" s="169"/>
      <c r="R42" s="169"/>
    </row>
    <row r="43" spans="1:21" x14ac:dyDescent="0.2">
      <c r="C43" s="172" t="str">
        <f>Text!B29</f>
        <v>(1) en comparación con el precio de referencia de la acción de Nexans</v>
      </c>
      <c r="D43" s="173"/>
      <c r="E43" s="173"/>
      <c r="F43" s="171"/>
      <c r="G43" s="171"/>
      <c r="H43" s="171"/>
      <c r="I43" s="171"/>
      <c r="L43" s="172" t="str">
        <f>Text!B29</f>
        <v>(1) en comparación con el precio de referencia de la acción de Nexans</v>
      </c>
      <c r="M43" s="169"/>
      <c r="N43" s="169"/>
      <c r="O43" s="169"/>
      <c r="P43" s="169"/>
      <c r="Q43" s="169"/>
      <c r="R43" s="169"/>
      <c r="S43" s="51"/>
    </row>
    <row r="44" spans="1:21" ht="3.75" customHeight="1" x14ac:dyDescent="0.2">
      <c r="C44" s="110"/>
      <c r="D44" s="111"/>
      <c r="E44" s="111"/>
      <c r="F44" s="58"/>
      <c r="G44" s="58"/>
      <c r="H44" s="58"/>
      <c r="I44" s="58"/>
      <c r="L44" s="110"/>
      <c r="M44" s="52"/>
      <c r="N44" s="52"/>
      <c r="O44" s="52"/>
      <c r="P44" s="52"/>
      <c r="Q44" s="52"/>
      <c r="R44" s="52"/>
      <c r="S44" s="51"/>
    </row>
    <row r="45" spans="1:21" ht="5.25" customHeight="1" x14ac:dyDescent="0.2">
      <c r="C45" s="110"/>
      <c r="D45" s="111"/>
      <c r="E45" s="111"/>
      <c r="F45" s="58"/>
      <c r="G45" s="58"/>
      <c r="H45" s="58"/>
      <c r="I45" s="58"/>
      <c r="L45" s="110"/>
      <c r="M45" s="52"/>
      <c r="N45" s="52"/>
      <c r="O45" s="52"/>
      <c r="P45" s="52"/>
      <c r="Q45" s="52"/>
      <c r="R45" s="52"/>
      <c r="S45" s="51"/>
    </row>
    <row r="46" spans="1:21" ht="4.5" customHeight="1" x14ac:dyDescent="0.2">
      <c r="C46" s="21"/>
      <c r="D46" s="23"/>
      <c r="E46" s="18"/>
      <c r="G46" s="58"/>
      <c r="L46" s="20"/>
      <c r="M46" s="20"/>
      <c r="N46" s="20"/>
      <c r="O46" s="20"/>
      <c r="P46" s="52"/>
      <c r="Q46" s="20"/>
      <c r="R46" s="20"/>
      <c r="T46" s="19"/>
      <c r="U46" s="22"/>
    </row>
    <row r="47" spans="1:21" ht="22.5" customHeight="1" x14ac:dyDescent="0.2">
      <c r="A47" s="2"/>
      <c r="B47" s="2"/>
      <c r="C47" s="256" t="str">
        <f>IF(H47="","",IF(HausseMoyenne=0,Text!B30,Text!B31&amp;" "&amp;FIXED(ROUND(H47/ApportEUR,1),1)&amp;" "&amp;Text!B32))</f>
        <v/>
      </c>
      <c r="D47" s="256"/>
      <c r="E47" s="256"/>
      <c r="F47" s="256"/>
      <c r="G47" s="58"/>
      <c r="H47" s="188" t="str">
        <f>IF(OR(ApportEUR="",PlafondApport="",Respect_Plafond="NON",ApportEUR&lt;APmin),"",ApportEUR+ApportEUR/(1-Décote)*Multiple*H39)</f>
        <v/>
      </c>
      <c r="I47" s="104"/>
      <c r="J47" s="266" t="s">
        <v>27</v>
      </c>
      <c r="K47" s="266"/>
      <c r="L47" s="256" t="str">
        <f>IF(Q47="","",Text!B33)</f>
        <v/>
      </c>
      <c r="M47" s="256"/>
      <c r="N47" s="256"/>
      <c r="O47" s="256"/>
      <c r="P47" s="52"/>
      <c r="Q47" s="188" t="str">
        <f>IF(H47="","",Q33/(1-Décote)*(1+Q39))</f>
        <v/>
      </c>
      <c r="R47" s="104"/>
      <c r="S47" s="18"/>
      <c r="T47" s="19"/>
      <c r="U47" s="22"/>
    </row>
    <row r="48" spans="1:21" ht="6.75" customHeight="1" thickBot="1" x14ac:dyDescent="0.25">
      <c r="C48" s="102"/>
      <c r="D48" s="102"/>
      <c r="E48" s="102"/>
      <c r="F48" s="102"/>
      <c r="G48" s="102"/>
      <c r="H48" s="102"/>
      <c r="I48" s="102"/>
      <c r="J48" s="102"/>
      <c r="K48" s="102"/>
      <c r="L48" s="102"/>
      <c r="M48" s="102"/>
      <c r="N48" s="102"/>
      <c r="O48" s="102"/>
      <c r="P48" s="102"/>
      <c r="Q48" s="102"/>
      <c r="R48" s="64"/>
      <c r="S48" s="18"/>
      <c r="T48" s="19"/>
      <c r="U48" s="22"/>
    </row>
    <row r="49" spans="2:21" ht="4.5" customHeight="1" x14ac:dyDescent="0.2">
      <c r="C49" s="99"/>
      <c r="D49" s="99"/>
      <c r="E49" s="99"/>
      <c r="F49" s="99"/>
      <c r="G49" s="58"/>
      <c r="H49" s="100"/>
      <c r="I49" s="100"/>
      <c r="J49" s="60"/>
      <c r="K49" s="60"/>
      <c r="L49" s="60"/>
      <c r="M49" s="51"/>
      <c r="N49" s="99"/>
      <c r="O49" s="99"/>
      <c r="P49" s="99"/>
      <c r="Q49" s="101"/>
      <c r="R49" s="101"/>
      <c r="S49" s="100"/>
      <c r="T49" s="19"/>
      <c r="U49" s="22"/>
    </row>
    <row r="50" spans="2:21" ht="22.5" customHeight="1" x14ac:dyDescent="0.2">
      <c r="B50" s="62" t="s">
        <v>92</v>
      </c>
      <c r="C50" s="268" t="str">
        <f>IF(AvoirsTotauxEUR="","",Text!B34)</f>
        <v/>
      </c>
      <c r="D50" s="268"/>
      <c r="E50" s="268"/>
      <c r="F50" s="268"/>
      <c r="G50" s="58"/>
      <c r="H50" s="188" t="str">
        <f>IF(Avoirs_1="","",Avoirs_1+Avoirs_2)</f>
        <v/>
      </c>
      <c r="I50" s="105"/>
      <c r="J50" s="60"/>
      <c r="K50" s="60"/>
      <c r="L50" s="60"/>
      <c r="M50" s="51"/>
      <c r="N50" s="99"/>
      <c r="O50" s="99"/>
      <c r="P50" s="99"/>
      <c r="Q50" s="101"/>
      <c r="R50" s="101"/>
      <c r="S50" s="100"/>
      <c r="T50" s="19"/>
      <c r="U50" s="22"/>
    </row>
    <row r="51" spans="2:21" ht="7.5" customHeight="1" x14ac:dyDescent="0.2">
      <c r="G51" s="58"/>
      <c r="J51" s="18"/>
      <c r="K51" s="18"/>
      <c r="L51" s="27"/>
      <c r="M51" s="27"/>
      <c r="N51" s="27"/>
      <c r="O51" s="27"/>
      <c r="P51" s="52"/>
      <c r="Q51" s="27"/>
      <c r="R51" s="27"/>
      <c r="S51" s="18"/>
      <c r="T51" s="19"/>
      <c r="U51" s="22"/>
    </row>
    <row r="52" spans="2:21" ht="4.5" customHeight="1" x14ac:dyDescent="0.2">
      <c r="C52" s="68"/>
      <c r="D52" s="68"/>
      <c r="E52" s="68"/>
      <c r="F52" s="68"/>
      <c r="G52" s="71"/>
      <c r="H52" s="68"/>
      <c r="I52" s="68"/>
      <c r="J52" s="67"/>
      <c r="K52" s="67"/>
      <c r="L52" s="72"/>
      <c r="M52" s="72"/>
      <c r="N52" s="72"/>
      <c r="O52" s="72"/>
      <c r="P52" s="73"/>
      <c r="Q52" s="72"/>
      <c r="R52" s="108"/>
      <c r="S52" s="18"/>
      <c r="T52" s="19"/>
      <c r="U52" s="22"/>
    </row>
    <row r="53" spans="2:21" ht="11.25" customHeight="1" x14ac:dyDescent="0.2">
      <c r="C53" s="69" t="str">
        <f>Text!B37</f>
        <v>El valor de tus activos en soles peruanos dependerá del tipo de cambio sol peruano/euro al final del período de bloqueo de 5 años.</v>
      </c>
      <c r="D53" s="70"/>
      <c r="E53" s="24"/>
      <c r="F53" s="4"/>
      <c r="G53" s="61"/>
      <c r="H53" s="61"/>
      <c r="I53" s="61"/>
      <c r="J53" s="61"/>
      <c r="K53" s="61"/>
      <c r="L53" s="61"/>
      <c r="M53" s="61"/>
      <c r="N53" s="4"/>
      <c r="O53" s="24"/>
      <c r="P53" s="24"/>
      <c r="Q53" s="24"/>
      <c r="R53" s="24"/>
      <c r="S53" s="18"/>
      <c r="T53" s="19"/>
      <c r="U53" s="22"/>
    </row>
    <row r="54" spans="2:21" ht="3.75" customHeight="1" x14ac:dyDescent="0.2">
      <c r="C54" s="63"/>
      <c r="D54" s="23"/>
      <c r="E54" s="18"/>
      <c r="G54" s="61"/>
      <c r="H54" s="61"/>
      <c r="I54" s="61"/>
      <c r="J54" s="61"/>
      <c r="K54" s="61"/>
      <c r="L54" s="61"/>
      <c r="M54" s="61"/>
      <c r="O54" s="18"/>
      <c r="P54" s="18"/>
      <c r="Q54" s="18"/>
      <c r="R54" s="18"/>
      <c r="S54" s="18"/>
      <c r="T54" s="19"/>
      <c r="U54" s="22"/>
    </row>
    <row r="55" spans="2:21" ht="5.25" customHeight="1" x14ac:dyDescent="0.2">
      <c r="C55" s="249" t="str">
        <f>Text!B38</f>
        <v>Si al final del período de bloqueo de 5 años, el tipo de cambio sol peruano/euro es</v>
      </c>
      <c r="D55" s="249"/>
      <c r="E55" s="249"/>
      <c r="M55" s="241"/>
      <c r="N55" s="241"/>
      <c r="O55" s="241"/>
      <c r="P55" s="241"/>
      <c r="Q55" s="241"/>
      <c r="R55" s="109"/>
      <c r="S55" s="18"/>
      <c r="T55" s="19"/>
      <c r="U55" s="22"/>
    </row>
    <row r="56" spans="2:21" ht="15.75" customHeight="1" x14ac:dyDescent="0.2">
      <c r="C56" s="249"/>
      <c r="D56" s="249"/>
      <c r="E56" s="249"/>
      <c r="F56" s="47" t="str">
        <f>F31</f>
        <v>1 PEN =</v>
      </c>
      <c r="G56" s="286"/>
      <c r="H56" s="240">
        <f>Hyp_initialFX</f>
        <v>0.25</v>
      </c>
      <c r="I56" s="285"/>
      <c r="J56" s="243" t="str">
        <f>IF(OR(Hyp_finalFX="",Hyp_initialFX=""),"",IF(Hyp_finalFX=Hyp_initialFX,Text!B39,IF(OR(AND(Currency_par="Ccy/EUR",Hyp_finalFX&lt;Hyp_initialFX),AND(Currency_par="EUR/Ccy",Hyp_finalFX&gt;Hyp_initialFX)),Text!B40,Text!B42)&amp;" "&amp;ABS(ROUND((Hyp_finalFX/Hyp_initialFX-1)*100,1))&amp;"% "&amp;Text!B43))</f>
        <v>Es decir, ningún cambio en el tipo de cambio entre el inicio y el vencimiento del plan.</v>
      </c>
      <c r="K56" s="287"/>
      <c r="L56" s="98"/>
      <c r="M56" s="98"/>
      <c r="N56" s="241"/>
      <c r="O56" s="241"/>
      <c r="P56" s="241"/>
      <c r="Q56" s="241"/>
      <c r="R56" s="109"/>
      <c r="S56" s="18"/>
      <c r="T56" s="19"/>
      <c r="U56" s="22"/>
    </row>
    <row r="57" spans="2:21" x14ac:dyDescent="0.2">
      <c r="C57" s="51"/>
      <c r="D57" s="23"/>
      <c r="E57" s="18"/>
      <c r="F57" s="18"/>
      <c r="G57" s="18"/>
      <c r="H57" s="223" t="str">
        <f>IF(Hyp_finalFX="",VBAmsg7,"")</f>
        <v/>
      </c>
      <c r="I57" s="18"/>
      <c r="J57" s="18"/>
      <c r="K57" s="18"/>
      <c r="L57" s="18"/>
      <c r="M57" s="18"/>
      <c r="N57" s="18"/>
      <c r="O57" s="18"/>
      <c r="P57" s="18"/>
      <c r="Q57" s="18"/>
      <c r="R57" s="18"/>
      <c r="S57" s="18"/>
      <c r="T57" s="19"/>
      <c r="U57" s="22"/>
    </row>
    <row r="58" spans="2:21" ht="22.5" customHeight="1" x14ac:dyDescent="0.2">
      <c r="C58" s="259" t="str">
        <f>IF(AvoirsTotaux="","",Text!B46)</f>
        <v/>
      </c>
      <c r="D58" s="259"/>
      <c r="E58" s="259"/>
      <c r="F58" s="259"/>
      <c r="H58" s="238" t="str">
        <f>IF(OR(AvoirsTotauxEUR="",Hyp_finalFX=""),"",AvoirsTotauxEUR/IF(Currency_par="Ccy/EUR",Hyp_finalFX,1/Hyp_finalFX))</f>
        <v/>
      </c>
      <c r="I58" s="18"/>
      <c r="J58" s="18"/>
      <c r="K58" s="18"/>
      <c r="M58" s="98"/>
      <c r="N58" s="98"/>
      <c r="O58" s="98"/>
      <c r="P58" s="98"/>
      <c r="Q58" s="98"/>
      <c r="R58" s="98"/>
      <c r="S58" s="18"/>
      <c r="T58" s="19"/>
      <c r="U58" s="22"/>
    </row>
    <row r="59" spans="2:21" x14ac:dyDescent="0.2">
      <c r="C59" s="33" t="str">
        <f>Text!B47</f>
        <v>Rendimiento total (respecto a tu aportación personal) * **</v>
      </c>
      <c r="D59" s="33"/>
      <c r="E59" s="33"/>
      <c r="F59" s="33"/>
      <c r="G59" s="33"/>
      <c r="H59" s="34" t="str">
        <f>IF(AvoirsTotaux="","",IF(AvoirsTotaux&gt;Apport,"+","")&amp;FIXED((AvoirsTotaux/Apport-1)*100,1)&amp;"%")</f>
        <v/>
      </c>
      <c r="I59" s="34"/>
      <c r="J59" s="18"/>
      <c r="K59" s="18"/>
      <c r="L59" s="18"/>
      <c r="M59" s="18"/>
      <c r="N59" s="18"/>
      <c r="O59" s="18"/>
      <c r="P59" s="18"/>
      <c r="Q59" s="18"/>
      <c r="R59" s="18"/>
      <c r="S59" s="18"/>
      <c r="T59" s="19"/>
      <c r="U59" s="22"/>
    </row>
    <row r="60" spans="2:21" ht="11.25" customHeight="1" x14ac:dyDescent="0.2">
      <c r="C60" s="33" t="str">
        <f>Text!B48</f>
        <v>Rendimiento anualizado (respecto a tu aportación personal) * **</v>
      </c>
      <c r="D60" s="33"/>
      <c r="E60" s="33"/>
      <c r="F60" s="33"/>
      <c r="G60" s="33"/>
      <c r="H60" s="34" t="str">
        <f>IF(AvoirsTotaux="","",IF(AvoirsTotaux&gt;Apport,"+","")&amp;ROUND(((AvoirsTotaux/Apport)^(1/Blocage)-1)*100,1)&amp;Text!B49)</f>
        <v/>
      </c>
      <c r="I60" s="34"/>
      <c r="J60" s="18"/>
      <c r="K60" s="18"/>
      <c r="L60" s="269" t="str">
        <f>Text!B36</f>
        <v>(**) Excluyendo los dividendos potencialmente recibidos en el fondo "Actionnariat Nexans"</v>
      </c>
      <c r="M60" s="269"/>
      <c r="N60" s="269"/>
      <c r="O60" s="269"/>
      <c r="P60" s="269"/>
      <c r="Q60" s="269"/>
      <c r="R60" s="269"/>
      <c r="S60" s="269"/>
      <c r="T60" s="19"/>
      <c r="U60" s="22"/>
    </row>
    <row r="61" spans="2:21" ht="3" customHeight="1" x14ac:dyDescent="0.2">
      <c r="C61" s="33"/>
      <c r="D61" s="33"/>
      <c r="E61" s="33"/>
      <c r="F61" s="33"/>
      <c r="G61" s="33"/>
      <c r="H61" s="34"/>
      <c r="I61" s="34"/>
      <c r="J61" s="18"/>
      <c r="K61" s="18"/>
      <c r="L61" s="269"/>
      <c r="M61" s="269"/>
      <c r="N61" s="269"/>
      <c r="O61" s="269"/>
      <c r="P61" s="269"/>
      <c r="Q61" s="269"/>
      <c r="R61" s="269"/>
      <c r="S61" s="269"/>
      <c r="T61" s="19"/>
      <c r="U61" s="22"/>
    </row>
    <row r="62" spans="2:21" x14ac:dyDescent="0.2">
      <c r="C62" s="51" t="str">
        <f>Text!B35</f>
        <v>(*) Antes de impuestos y contribuciones sociales</v>
      </c>
      <c r="D62" s="23"/>
      <c r="E62" s="18"/>
      <c r="G62" s="18"/>
      <c r="H62" s="18"/>
      <c r="I62" s="18"/>
      <c r="L62" s="269"/>
      <c r="M62" s="269"/>
      <c r="N62" s="269"/>
      <c r="O62" s="269"/>
      <c r="P62" s="269"/>
      <c r="Q62" s="269"/>
      <c r="R62" s="269"/>
      <c r="S62" s="269"/>
      <c r="T62" s="19"/>
      <c r="U62" s="22"/>
    </row>
    <row r="63" spans="2:21" ht="8.25" customHeight="1" x14ac:dyDescent="0.2">
      <c r="C63" s="115"/>
      <c r="D63" s="23"/>
      <c r="E63" s="18"/>
      <c r="F63" s="18"/>
      <c r="G63" s="18"/>
      <c r="H63" s="18"/>
      <c r="I63" s="18"/>
      <c r="J63" s="18"/>
      <c r="K63" s="18"/>
      <c r="L63" s="18"/>
      <c r="M63" s="18"/>
      <c r="N63" s="18"/>
      <c r="O63" s="18"/>
      <c r="P63" s="18"/>
      <c r="Q63" s="18"/>
      <c r="R63" s="18"/>
      <c r="S63" s="18"/>
      <c r="T63" s="19"/>
      <c r="U63" s="22"/>
    </row>
    <row r="64" spans="2:21" x14ac:dyDescent="0.2">
      <c r="B64" s="267" t="str">
        <f>Text!B51&amp;" "&amp;Text!B52</f>
        <v>ADVERTENCIA: El incremento promedio protegido de la acción se calcula a partir de una media de 60 registros mensuales, y no a partir del precio de la acción de Nexans al vencimiento del plan.</v>
      </c>
      <c r="C64" s="267"/>
      <c r="D64" s="267"/>
      <c r="E64" s="267"/>
      <c r="F64" s="267"/>
      <c r="G64" s="267"/>
      <c r="H64" s="267"/>
      <c r="I64" s="267"/>
      <c r="J64" s="267"/>
      <c r="K64" s="267"/>
      <c r="L64" s="267"/>
      <c r="M64" s="267"/>
      <c r="N64" s="267"/>
      <c r="O64" s="267"/>
      <c r="P64" s="267"/>
      <c r="Q64" s="267"/>
      <c r="R64" s="267"/>
      <c r="S64" s="267"/>
      <c r="T64" s="19"/>
      <c r="U64" s="22"/>
    </row>
    <row r="65" spans="1:21" ht="11.25" customHeight="1" x14ac:dyDescent="0.2">
      <c r="C65" s="21"/>
      <c r="D65" s="23"/>
      <c r="E65" s="18"/>
      <c r="F65" s="18"/>
      <c r="G65" s="18"/>
      <c r="H65" s="18"/>
      <c r="I65" s="18"/>
      <c r="J65" s="18"/>
      <c r="K65" s="18"/>
      <c r="L65" s="18"/>
      <c r="M65" s="18"/>
      <c r="N65" s="18"/>
      <c r="O65" s="18"/>
      <c r="P65" s="18"/>
      <c r="Q65" s="18"/>
      <c r="R65" s="18"/>
      <c r="S65" s="18"/>
      <c r="T65" s="19"/>
      <c r="U65" s="22"/>
    </row>
    <row r="66" spans="1:21" x14ac:dyDescent="0.2">
      <c r="B66" s="36"/>
      <c r="C66" s="36"/>
      <c r="D66" s="36"/>
      <c r="E66" s="35" t="str">
        <f>Text!B54</f>
        <v>Aviso importante</v>
      </c>
      <c r="F66" s="36"/>
      <c r="G66" s="36"/>
      <c r="H66" s="36"/>
      <c r="I66" s="36"/>
      <c r="J66" s="36"/>
      <c r="K66" s="36"/>
      <c r="L66" s="36"/>
      <c r="M66" s="36"/>
      <c r="N66" s="36"/>
      <c r="O66" s="36"/>
      <c r="P66" s="36"/>
      <c r="Q66" s="36"/>
      <c r="R66" s="36"/>
      <c r="S66" s="36"/>
      <c r="T66" s="19"/>
      <c r="U66" s="22"/>
    </row>
    <row r="67" spans="1:21" ht="4.5" customHeight="1" x14ac:dyDescent="0.2">
      <c r="C67" s="29"/>
      <c r="D67" s="30"/>
      <c r="E67" s="30"/>
      <c r="F67" s="30"/>
      <c r="G67" s="30"/>
      <c r="H67" s="30"/>
      <c r="I67" s="30"/>
      <c r="J67" s="30"/>
      <c r="K67" s="30"/>
      <c r="L67" s="30"/>
      <c r="M67" s="30"/>
      <c r="N67" s="30"/>
      <c r="O67" s="30"/>
      <c r="P67" s="30"/>
      <c r="Q67" s="30"/>
      <c r="R67" s="30"/>
      <c r="S67" s="30"/>
      <c r="T67" s="19"/>
      <c r="U67" s="22"/>
    </row>
    <row r="68" spans="1:21" ht="63.75" customHeight="1" x14ac:dyDescent="0.2">
      <c r="D68" s="116"/>
      <c r="E68" s="253" t="str">
        <f>Text!B55</f>
        <v>Este simulador proporciona un resultado indicativo y está pensado para ayudarte a calcular el posible rendimiento de una inversión en Act 2022. Tu retorno de la inversión real se determinará sobre la base (i) del incremento promedio protegido de la acción de Nexans durante el período de bloqueo de 5 años, (ii) el valor de la acción de Nexans al final del período de bloqueo de 5 años y (iii) cualquier dividendo derivado de tu inversión en el fondo Actionnariat Nexans y (iv) de la evolución del tipo de cambio sol peruano/euro. No se puede dar ninguna garantía en cuanto a la evolución futura del precio de las acciones de Nexans ni del tipo de cambio sol peruano/euro, ni sobre las variaciones en otros factores que puedan afectar al valor de tu inversión y que no se han tenido en cuenta en este simulador (como potenciales dividendos,  y la tributación fiscal y de las contribuciones sociales). Para obtener más información sobre los factores que pueden afectar al valor futuro de tu inversión, consulta el folleto sobre Act 2022, el Suplemento Local y los Documentos de Datos Fundamentales para el Inversor (KIID) del compartimento "NEXANS PLUS 2022 A" del fondo "NEXANS PLUS 2022" y de los fondos "NEXANS PLUS RELAIS 2022" y "ACTIONNARIAT NEXANS".</v>
      </c>
      <c r="F68" s="253"/>
      <c r="G68" s="253"/>
      <c r="H68" s="253"/>
      <c r="I68" s="253"/>
      <c r="J68" s="253"/>
      <c r="K68" s="253"/>
      <c r="L68" s="253"/>
      <c r="M68" s="253"/>
      <c r="N68" s="253"/>
      <c r="O68" s="253"/>
      <c r="P68" s="253"/>
      <c r="Q68" s="253"/>
      <c r="R68" s="253"/>
      <c r="S68" s="253"/>
    </row>
    <row r="69" spans="1:21" x14ac:dyDescent="0.2">
      <c r="C69" s="21"/>
      <c r="D69" s="23"/>
      <c r="E69" s="18"/>
      <c r="F69" s="18"/>
      <c r="G69" s="18"/>
      <c r="H69" s="18"/>
      <c r="I69" s="18"/>
      <c r="J69" s="18"/>
      <c r="K69" s="18"/>
      <c r="L69" s="18"/>
      <c r="M69" s="18"/>
      <c r="N69" s="18"/>
      <c r="O69" s="18"/>
      <c r="P69" s="18"/>
      <c r="Q69" s="18"/>
      <c r="R69" s="18"/>
      <c r="S69" s="18"/>
      <c r="T69" s="19"/>
      <c r="U69" s="22"/>
    </row>
    <row r="70" spans="1:21" x14ac:dyDescent="0.2">
      <c r="C70" s="21"/>
      <c r="D70" s="23"/>
      <c r="E70" s="18"/>
      <c r="F70" s="18"/>
      <c r="G70" s="18"/>
      <c r="H70" s="244"/>
      <c r="I70" s="18"/>
      <c r="J70" s="18"/>
      <c r="K70" s="18"/>
      <c r="L70" s="18"/>
      <c r="M70" s="18"/>
      <c r="N70" s="18"/>
      <c r="O70" s="18"/>
      <c r="P70" s="18"/>
      <c r="Q70" s="18"/>
      <c r="R70" s="18"/>
      <c r="S70" s="18"/>
      <c r="T70" s="19"/>
      <c r="U70" s="22"/>
    </row>
    <row r="71" spans="1:21" x14ac:dyDescent="0.2">
      <c r="C71" s="21"/>
      <c r="D71" s="23"/>
      <c r="E71" s="18"/>
      <c r="F71" s="18"/>
      <c r="G71" s="18"/>
      <c r="H71" s="18"/>
      <c r="I71" s="18"/>
      <c r="J71" s="18"/>
      <c r="K71" s="18"/>
      <c r="L71" s="18"/>
      <c r="M71" s="18"/>
      <c r="N71" s="18"/>
      <c r="O71" s="18"/>
      <c r="P71" s="18"/>
      <c r="Q71" s="18"/>
      <c r="R71" s="18"/>
      <c r="S71" s="18"/>
      <c r="T71" s="19"/>
      <c r="U71" s="22"/>
    </row>
    <row r="72" spans="1:21" x14ac:dyDescent="0.2">
      <c r="C72" s="21"/>
      <c r="D72" s="23"/>
      <c r="E72" s="18"/>
      <c r="F72" s="18"/>
      <c r="G72" s="18"/>
      <c r="H72" s="18"/>
      <c r="I72" s="18"/>
      <c r="J72" s="18"/>
      <c r="K72" s="18"/>
      <c r="L72" s="18"/>
      <c r="M72" s="18"/>
      <c r="N72" s="18"/>
      <c r="O72" s="18"/>
      <c r="P72" s="18"/>
      <c r="Q72" s="18"/>
      <c r="R72" s="18"/>
      <c r="S72" s="18"/>
      <c r="T72" s="19"/>
      <c r="U72" s="22"/>
    </row>
    <row r="73" spans="1:21" x14ac:dyDescent="0.2">
      <c r="C73" s="21"/>
      <c r="D73" s="23"/>
      <c r="E73" s="18"/>
      <c r="F73" s="18"/>
      <c r="G73" s="18"/>
      <c r="H73" s="18"/>
      <c r="I73" s="18"/>
      <c r="J73" s="18"/>
      <c r="K73" s="18"/>
      <c r="L73" s="18"/>
      <c r="M73" s="18"/>
      <c r="N73" s="18"/>
      <c r="O73" s="18"/>
      <c r="P73" s="18"/>
      <c r="Q73" s="18"/>
      <c r="R73" s="18"/>
      <c r="S73" s="18"/>
      <c r="T73" s="19"/>
      <c r="U73" s="22"/>
    </row>
    <row r="74" spans="1:21" x14ac:dyDescent="0.2">
      <c r="C74" s="21"/>
      <c r="D74" s="23"/>
      <c r="E74" s="18"/>
      <c r="F74" s="18"/>
      <c r="G74" s="18"/>
      <c r="H74" s="18"/>
      <c r="I74" s="18"/>
      <c r="J74" s="18"/>
      <c r="K74" s="18"/>
      <c r="L74" s="18"/>
      <c r="M74" s="18"/>
      <c r="N74" s="18"/>
      <c r="O74" s="18"/>
      <c r="P74" s="18"/>
      <c r="Q74" s="18"/>
      <c r="R74" s="18"/>
      <c r="S74" s="18"/>
      <c r="T74" s="19"/>
      <c r="U74" s="22"/>
    </row>
    <row r="75" spans="1:21" s="4" customFormat="1" x14ac:dyDescent="0.2">
      <c r="C75" s="24"/>
      <c r="D75" s="24"/>
      <c r="E75" s="24"/>
      <c r="F75" s="24"/>
      <c r="G75" s="24"/>
      <c r="H75" s="24"/>
      <c r="I75" s="24"/>
      <c r="J75" s="24"/>
      <c r="K75" s="24"/>
      <c r="L75" s="24"/>
      <c r="M75" s="24"/>
      <c r="N75" s="24"/>
      <c r="O75" s="24"/>
      <c r="P75" s="24"/>
      <c r="Q75" s="24"/>
      <c r="R75" s="24"/>
      <c r="S75" s="24"/>
    </row>
    <row r="76" spans="1:21" s="119" customFormat="1" hidden="1" x14ac:dyDescent="0.2">
      <c r="A76" s="117"/>
      <c r="B76" s="117"/>
      <c r="C76" s="117"/>
      <c r="D76" s="117"/>
      <c r="E76" s="117"/>
      <c r="F76" s="118"/>
      <c r="G76" s="117"/>
      <c r="H76" s="117"/>
      <c r="I76" s="117"/>
      <c r="J76" s="117"/>
      <c r="K76" s="117"/>
      <c r="L76" s="117"/>
      <c r="M76" s="117"/>
      <c r="N76" s="117"/>
      <c r="O76" s="117"/>
      <c r="P76" s="117"/>
      <c r="Q76" s="117"/>
      <c r="R76" s="117"/>
    </row>
    <row r="77" spans="1:21" s="122" customFormat="1" ht="5.25" hidden="1" customHeight="1" x14ac:dyDescent="0.2">
      <c r="A77" s="120"/>
      <c r="B77" s="120"/>
      <c r="C77" s="120"/>
      <c r="D77" s="120"/>
      <c r="E77" s="120"/>
      <c r="F77" s="121"/>
      <c r="G77" s="120"/>
      <c r="H77" s="120"/>
      <c r="I77" s="120"/>
      <c r="J77" s="120"/>
      <c r="K77" s="120"/>
      <c r="L77" s="120"/>
      <c r="M77" s="120"/>
      <c r="N77" s="120"/>
      <c r="O77" s="120"/>
      <c r="P77" s="120"/>
      <c r="Q77" s="120"/>
      <c r="R77" s="120"/>
    </row>
    <row r="78" spans="1:21" s="122" customFormat="1" hidden="1" x14ac:dyDescent="0.2">
      <c r="A78" s="120"/>
      <c r="B78" s="120"/>
      <c r="C78" s="123" t="s">
        <v>19</v>
      </c>
      <c r="D78" s="120"/>
      <c r="E78" s="120"/>
      <c r="F78" s="121"/>
      <c r="G78" s="120"/>
      <c r="H78" s="120"/>
      <c r="I78" s="120"/>
      <c r="J78" s="120"/>
      <c r="K78" s="120"/>
      <c r="L78" s="120"/>
      <c r="M78" s="120"/>
      <c r="N78" s="120"/>
      <c r="O78" s="120"/>
      <c r="P78" s="120"/>
      <c r="Q78" s="120"/>
      <c r="R78" s="120"/>
    </row>
    <row r="79" spans="1:21" s="122" customFormat="1" hidden="1" x14ac:dyDescent="0.2">
      <c r="A79" s="120"/>
      <c r="B79" s="120"/>
      <c r="C79" s="124" t="s">
        <v>20</v>
      </c>
      <c r="D79" s="120" t="b">
        <v>0</v>
      </c>
      <c r="F79" s="121"/>
    </row>
    <row r="80" spans="1:21" s="122" customFormat="1" hidden="1" x14ac:dyDescent="0.2">
      <c r="A80" s="120"/>
      <c r="B80" s="120"/>
      <c r="C80" s="124" t="s">
        <v>21</v>
      </c>
      <c r="D80" s="120" t="b">
        <v>1</v>
      </c>
      <c r="F80" s="121"/>
      <c r="T80" s="125"/>
    </row>
    <row r="81" spans="1:20" s="122" customFormat="1" hidden="1" x14ac:dyDescent="0.2">
      <c r="A81" s="120"/>
      <c r="B81" s="120"/>
      <c r="C81" s="124"/>
      <c r="D81" s="120"/>
      <c r="F81" s="121"/>
      <c r="I81" s="120"/>
      <c r="J81" s="120"/>
      <c r="K81" s="120"/>
      <c r="L81" s="120"/>
      <c r="M81" s="120"/>
      <c r="N81" s="120"/>
      <c r="O81" s="120"/>
      <c r="P81" s="120"/>
      <c r="Q81" s="120"/>
      <c r="R81" s="120"/>
      <c r="T81" s="125"/>
    </row>
    <row r="82" spans="1:20" s="122" customFormat="1" hidden="1" x14ac:dyDescent="0.2">
      <c r="A82" s="120"/>
      <c r="B82" s="120"/>
      <c r="C82" s="123" t="s">
        <v>136</v>
      </c>
      <c r="D82" s="120"/>
      <c r="F82" s="121"/>
      <c r="I82" s="120"/>
      <c r="J82" s="120"/>
      <c r="K82" s="120"/>
      <c r="L82" s="120"/>
      <c r="M82" s="120"/>
      <c r="N82" s="120"/>
      <c r="O82" s="120"/>
      <c r="P82" s="120"/>
      <c r="Q82" s="120"/>
      <c r="R82" s="120"/>
      <c r="T82" s="125"/>
    </row>
    <row r="83" spans="1:20" s="122" customFormat="1" hidden="1" x14ac:dyDescent="0.2">
      <c r="A83" s="120"/>
      <c r="B83" s="120"/>
      <c r="C83" s="124" t="s">
        <v>137</v>
      </c>
      <c r="D83" s="120" t="b">
        <v>1</v>
      </c>
      <c r="F83" s="121"/>
      <c r="I83" s="120"/>
      <c r="J83" s="120"/>
      <c r="K83" s="120"/>
      <c r="L83" s="120"/>
      <c r="M83" s="120"/>
      <c r="N83" s="120"/>
      <c r="O83" s="120"/>
      <c r="P83" s="120"/>
      <c r="Q83" s="120"/>
      <c r="R83" s="120"/>
      <c r="T83" s="125"/>
    </row>
    <row r="84" spans="1:20" s="122" customFormat="1" hidden="1" x14ac:dyDescent="0.2">
      <c r="A84" s="120"/>
      <c r="B84" s="120"/>
      <c r="C84" s="124" t="s">
        <v>13</v>
      </c>
      <c r="D84" s="120" t="b">
        <v>0</v>
      </c>
      <c r="F84" s="121"/>
      <c r="I84" s="120"/>
      <c r="J84" s="120"/>
      <c r="K84" s="120"/>
      <c r="L84" s="120"/>
      <c r="M84" s="120"/>
      <c r="N84" s="120"/>
      <c r="O84" s="120"/>
      <c r="P84" s="120"/>
      <c r="Q84" s="120"/>
      <c r="R84" s="120"/>
      <c r="T84" s="125"/>
    </row>
    <row r="85" spans="1:20" s="122" customFormat="1" hidden="1" x14ac:dyDescent="0.2">
      <c r="A85" s="120"/>
      <c r="B85" s="120"/>
      <c r="C85" s="124"/>
      <c r="D85" s="120"/>
      <c r="E85" s="224"/>
      <c r="F85" s="126"/>
      <c r="G85" s="120"/>
      <c r="H85" s="120"/>
      <c r="I85" s="120"/>
      <c r="J85" s="120"/>
      <c r="K85" s="120"/>
      <c r="L85" s="120"/>
      <c r="M85" s="120"/>
      <c r="N85" s="120"/>
      <c r="O85" s="120"/>
      <c r="P85" s="120"/>
      <c r="Q85" s="120"/>
      <c r="R85" s="120"/>
      <c r="T85" s="125"/>
    </row>
    <row r="86" spans="1:20" s="128" customFormat="1" hidden="1" x14ac:dyDescent="0.2">
      <c r="A86" s="127"/>
      <c r="B86" s="127"/>
      <c r="C86" s="129" t="s">
        <v>24</v>
      </c>
      <c r="D86" s="130">
        <v>0</v>
      </c>
      <c r="F86" s="131" t="s">
        <v>8</v>
      </c>
      <c r="H86" s="132" t="s">
        <v>14</v>
      </c>
      <c r="I86" s="132"/>
      <c r="J86" s="132"/>
      <c r="K86" s="132"/>
      <c r="L86" s="132"/>
      <c r="M86" s="132"/>
      <c r="N86" s="132"/>
      <c r="O86" s="132"/>
      <c r="P86" s="132"/>
      <c r="Q86" s="132"/>
      <c r="R86" s="132"/>
    </row>
    <row r="87" spans="1:20" s="122" customFormat="1" hidden="1" x14ac:dyDescent="0.2">
      <c r="A87" s="120"/>
      <c r="B87" s="120"/>
      <c r="C87" s="129" t="s">
        <v>25</v>
      </c>
      <c r="D87" s="130">
        <v>100</v>
      </c>
      <c r="E87" s="124" t="s">
        <v>12</v>
      </c>
      <c r="F87" s="133">
        <f>ROUNDDOWN(25%*RAB/(1+Levier),2)</f>
        <v>0</v>
      </c>
      <c r="H87" s="141" t="str">
        <f>IF(OR(RAB="",Apport=0,ISNUMBER(Apport)=FALSE),"",IF(Apport&lt;=PlafondApport,"OUI","NON"))</f>
        <v/>
      </c>
      <c r="I87" s="134"/>
      <c r="J87" s="132"/>
      <c r="K87" s="132"/>
      <c r="L87" s="132"/>
      <c r="M87" s="132"/>
      <c r="N87" s="132"/>
      <c r="O87" s="132"/>
      <c r="P87" s="132"/>
      <c r="Q87" s="132"/>
      <c r="R87" s="132"/>
    </row>
    <row r="88" spans="1:20" s="136" customFormat="1" hidden="1" x14ac:dyDescent="0.2">
      <c r="A88" s="135"/>
      <c r="B88" s="135"/>
      <c r="D88" s="135"/>
      <c r="E88" s="137" t="s">
        <v>11</v>
      </c>
      <c r="F88" s="138">
        <f>ROUNDDOWN(2.5%*RAB/(1+Levier),2)</f>
        <v>0</v>
      </c>
      <c r="H88" s="142" t="str">
        <f>IF(OR(RAB="",Apport=0),"",IF(D83=TRUE,"OUI",IF(Apport&lt;=F88,"OUI","NON")))</f>
        <v/>
      </c>
      <c r="I88" s="139"/>
      <c r="J88" s="140"/>
      <c r="K88" s="140"/>
      <c r="L88" s="140"/>
      <c r="M88" s="140"/>
      <c r="N88" s="140"/>
      <c r="O88" s="140"/>
      <c r="P88" s="140"/>
      <c r="Q88" s="140"/>
      <c r="R88" s="140"/>
    </row>
  </sheetData>
  <sheetProtection algorithmName="SHA-512" hashValue="QjAyLjgIgWY5oinH2J6j26qAjy+K0ZFd/FfXBwFKMQ0mWYxqxtKMpAAhHPoOj7Md0l6MzQcFiyU0IRJ0TVKhqQ==" saltValue="GfbP6YuPJ09ukIfgMX3Ayg==" spinCount="100000" sheet="1" objects="1" scenarios="1" formatRows="0" selectLockedCells="1"/>
  <mergeCells count="19">
    <mergeCell ref="E68:S68"/>
    <mergeCell ref="C25:F27"/>
    <mergeCell ref="L25:O27"/>
    <mergeCell ref="C47:F47"/>
    <mergeCell ref="C38:F40"/>
    <mergeCell ref="L38:O40"/>
    <mergeCell ref="L47:O47"/>
    <mergeCell ref="C58:F58"/>
    <mergeCell ref="H25:H27"/>
    <mergeCell ref="Q25:Q27"/>
    <mergeCell ref="J47:K47"/>
    <mergeCell ref="B64:S64"/>
    <mergeCell ref="C50:F50"/>
    <mergeCell ref="L60:S62"/>
    <mergeCell ref="C9:N9"/>
    <mergeCell ref="C55:E56"/>
    <mergeCell ref="C11:O11"/>
    <mergeCell ref="B13:B14"/>
    <mergeCell ref="C19:Q19"/>
  </mergeCells>
  <conditionalFormatting sqref="I87">
    <cfRule type="expression" dxfId="36" priority="78">
      <formula>IF(I87="OUI",TRUE,FALSE)</formula>
    </cfRule>
  </conditionalFormatting>
  <conditionalFormatting sqref="I88:R88">
    <cfRule type="expression" dxfId="35" priority="42">
      <formula>IF(I88="OUI",TRUE,FALSE)</formula>
    </cfRule>
    <cfRule type="expression" dxfId="34" priority="43">
      <formula>IF(I88="",TRUE,FALSE)</formula>
    </cfRule>
  </conditionalFormatting>
  <conditionalFormatting sqref="M29:R29">
    <cfRule type="dataBar" priority="33">
      <dataBar>
        <cfvo type="num" val="0"/>
        <cfvo type="num" val="1"/>
        <color theme="2" tint="0.79998168889431442"/>
      </dataBar>
      <extLst>
        <ext xmlns:x14="http://schemas.microsoft.com/office/spreadsheetml/2009/9/main" uri="{B025F937-C7B1-47D3-B67F-A62EFF666E3E}">
          <x14:id>{419E96F9-C959-4A75-879A-E15FE411B3E9}</x14:id>
        </ext>
      </extLst>
    </cfRule>
  </conditionalFormatting>
  <conditionalFormatting sqref="H29:I29">
    <cfRule type="dataBar" priority="13">
      <dataBar>
        <cfvo type="num" val="0"/>
        <cfvo type="num" val="1"/>
        <color theme="2" tint="0.79998168889431442"/>
      </dataBar>
      <extLst>
        <ext xmlns:x14="http://schemas.microsoft.com/office/spreadsheetml/2009/9/main" uri="{B025F937-C7B1-47D3-B67F-A62EFF666E3E}">
          <x14:id>{DD2A959E-99BC-4465-A3A6-E8E08DD410E9}</x14:id>
        </ext>
      </extLst>
    </cfRule>
  </conditionalFormatting>
  <conditionalFormatting sqref="Q35:R35">
    <cfRule type="dataBar" priority="10">
      <dataBar>
        <cfvo type="num" val="0"/>
        <cfvo type="num" val="1"/>
        <color theme="2" tint="0.79998168889431442"/>
      </dataBar>
      <extLst>
        <ext xmlns:x14="http://schemas.microsoft.com/office/spreadsheetml/2009/9/main" uri="{B025F937-C7B1-47D3-B67F-A62EFF666E3E}">
          <x14:id>{A469DFEF-7043-4B47-801D-4E755AA7C631}</x14:id>
        </ext>
      </extLst>
    </cfRule>
  </conditionalFormatting>
  <conditionalFormatting sqref="H58">
    <cfRule type="expression" dxfId="33" priority="7">
      <formula>IF($H$58="",TRUE,FALSE)</formula>
    </cfRule>
  </conditionalFormatting>
  <conditionalFormatting sqref="B19">
    <cfRule type="iconSet" priority="5">
      <iconSet iconSet="3Symbols" showValue="0">
        <cfvo type="percent" val="0"/>
        <cfvo type="num" val="0"/>
        <cfvo type="num" val="100"/>
      </iconSet>
    </cfRule>
  </conditionalFormatting>
  <conditionalFormatting sqref="C19">
    <cfRule type="expression" dxfId="32" priority="3">
      <formula>IF(OR(PlafondApport&lt;APmin_devise,AND(Apport&lt;&gt;"",RAB=""),Apport&gt;PlafondApport),TRUE,FALSE)</formula>
    </cfRule>
  </conditionalFormatting>
  <conditionalFormatting sqref="H25:H27">
    <cfRule type="expression" dxfId="31" priority="1">
      <formula>IF(Apport&gt;0,TRUE,FALSE)</formula>
    </cfRule>
  </conditionalFormatting>
  <dataValidations disablePrompts="1" count="2">
    <dataValidation type="decimal" operator="greaterThan" allowBlank="1" showInputMessage="1" showErrorMessage="1" error="Erreur de saisie. Veuillez recommencer." sqref="S11:S12 P11:R11" xr:uid="{EDDB2C29-1305-44A5-B2C9-40170F853670}">
      <formula1>0</formula1>
    </dataValidation>
    <dataValidation type="decimal" operator="greaterThan" showInputMessage="1" showErrorMessage="1" sqref="H56 H31" xr:uid="{49B06413-2024-400C-BD68-3E8DF14A3C95}">
      <formula1>0</formula1>
    </dataValidation>
  </dataValidations>
  <pageMargins left="0.7" right="0.7" top="0.75" bottom="0.75" header="0.3" footer="0.3"/>
  <pageSetup paperSize="9" orientation="portrait" r:id="rId1"/>
  <headerFooter>
    <oddFooter>&amp;L&amp;1#&amp;"Calibri"&amp;1&amp;KFFFFFFC1 - Public Natixis</oddFooter>
  </headerFooter>
  <ignoredErrors>
    <ignoredError sqref="H87 C38 L38 F87:F88" unlockedFormula="1"/>
  </ignoredErrors>
  <drawing r:id="rId2"/>
  <legacyDrawing r:id="rId3"/>
  <controls>
    <mc:AlternateContent xmlns:mc="http://schemas.openxmlformats.org/markup-compatibility/2006">
      <mc:Choice Requires="x14">
        <control shapeId="3178" r:id="rId4" name="ScrollBar1">
          <controlPr defaultSize="0" autoLine="0" linkedCell="D87" r:id="rId5">
            <anchor moveWithCells="1">
              <from>
                <xdr:col>11</xdr:col>
                <xdr:colOff>123825</xdr:colOff>
                <xdr:row>40</xdr:row>
                <xdr:rowOff>19050</xdr:rowOff>
              </from>
              <to>
                <xdr:col>14</xdr:col>
                <xdr:colOff>428625</xdr:colOff>
                <xdr:row>41</xdr:row>
                <xdr:rowOff>0</xdr:rowOff>
              </to>
            </anchor>
          </controlPr>
        </control>
      </mc:Choice>
      <mc:Fallback>
        <control shapeId="3178" r:id="rId4" name="ScrollBar1"/>
      </mc:Fallback>
    </mc:AlternateContent>
    <mc:AlternateContent xmlns:mc="http://schemas.openxmlformats.org/markup-compatibility/2006">
      <mc:Choice Requires="x14">
        <control shapeId="3177" r:id="rId6" name="ScrollBar2">
          <controlPr defaultSize="0" autoLine="0" linkedCell="D86" r:id="rId7">
            <anchor moveWithCells="1">
              <from>
                <xdr:col>3</xdr:col>
                <xdr:colOff>9525</xdr:colOff>
                <xdr:row>40</xdr:row>
                <xdr:rowOff>19050</xdr:rowOff>
              </from>
              <to>
                <xdr:col>4</xdr:col>
                <xdr:colOff>1619250</xdr:colOff>
                <xdr:row>41</xdr:row>
                <xdr:rowOff>0</xdr:rowOff>
              </to>
            </anchor>
          </controlPr>
        </control>
      </mc:Choice>
      <mc:Fallback>
        <control shapeId="3177" r:id="rId6" name="ScrollBar2"/>
      </mc:Fallback>
    </mc:AlternateContent>
    <mc:AlternateContent xmlns:mc="http://schemas.openxmlformats.org/markup-compatibility/2006">
      <mc:Choice Requires="x14">
        <control shapeId="3199" r:id="rId8" name="OptionButton1">
          <controlPr defaultSize="0" autoLine="0" linkedCell="D83" r:id="rId9">
            <anchor moveWithCells="1">
              <from>
                <xdr:col>2</xdr:col>
                <xdr:colOff>19050</xdr:colOff>
                <xdr:row>12</xdr:row>
                <xdr:rowOff>0</xdr:rowOff>
              </from>
              <to>
                <xdr:col>2</xdr:col>
                <xdr:colOff>142875</xdr:colOff>
                <xdr:row>12</xdr:row>
                <xdr:rowOff>133350</xdr:rowOff>
              </to>
            </anchor>
          </controlPr>
        </control>
      </mc:Choice>
      <mc:Fallback>
        <control shapeId="3199" r:id="rId8" name="OptionButton1"/>
      </mc:Fallback>
    </mc:AlternateContent>
    <mc:AlternateContent xmlns:mc="http://schemas.openxmlformats.org/markup-compatibility/2006">
      <mc:Choice Requires="x14">
        <control shapeId="3200" r:id="rId10" name="OptionButton2">
          <controlPr defaultSize="0" autoLine="0" linkedCell="D84" r:id="rId11">
            <anchor moveWithCells="1">
              <from>
                <xdr:col>2</xdr:col>
                <xdr:colOff>19050</xdr:colOff>
                <xdr:row>13</xdr:row>
                <xdr:rowOff>19050</xdr:rowOff>
              </from>
              <to>
                <xdr:col>2</xdr:col>
                <xdr:colOff>152400</xdr:colOff>
                <xdr:row>14</xdr:row>
                <xdr:rowOff>9525</xdr:rowOff>
              </to>
            </anchor>
          </controlPr>
        </control>
      </mc:Choice>
      <mc:Fallback>
        <control shapeId="3200" r:id="rId10"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dataBar" id="{419E96F9-C959-4A75-879A-E15FE411B3E9}">
            <x14:dataBar minLength="0" maxLength="100" gradient="0">
              <x14:cfvo type="num">
                <xm:f>0</xm:f>
              </x14:cfvo>
              <x14:cfvo type="num">
                <xm:f>1</xm:f>
              </x14:cfvo>
              <x14:negativeFillColor rgb="FFFF0000"/>
              <x14:axisColor rgb="FF000000"/>
            </x14:dataBar>
          </x14:cfRule>
          <xm:sqref>M29:R29</xm:sqref>
        </x14:conditionalFormatting>
        <x14:conditionalFormatting xmlns:xm="http://schemas.microsoft.com/office/excel/2006/main">
          <x14:cfRule type="dataBar" id="{DD2A959E-99BC-4465-A3A6-E8E08DD410E9}">
            <x14:dataBar minLength="0" maxLength="100" gradient="0">
              <x14:cfvo type="num">
                <xm:f>0</xm:f>
              </x14:cfvo>
              <x14:cfvo type="num">
                <xm:f>1</xm:f>
              </x14:cfvo>
              <x14:negativeFillColor rgb="FFFF0000"/>
              <x14:axisColor rgb="FF000000"/>
            </x14:dataBar>
          </x14:cfRule>
          <xm:sqref>H29:I29</xm:sqref>
        </x14:conditionalFormatting>
        <x14:conditionalFormatting xmlns:xm="http://schemas.microsoft.com/office/excel/2006/main">
          <x14:cfRule type="dataBar" id="{A469DFEF-7043-4B47-801D-4E755AA7C631}">
            <x14:dataBar minLength="0" maxLength="100" gradient="0">
              <x14:cfvo type="num">
                <xm:f>0</xm:f>
              </x14:cfvo>
              <x14:cfvo type="num">
                <xm:f>1</xm:f>
              </x14:cfvo>
              <x14:negativeFillColor rgb="FFFF0000"/>
              <x14:axisColor rgb="FF000000"/>
            </x14:dataBar>
          </x14:cfRule>
          <xm:sqref>Q35:R35</xm:sqref>
        </x14:conditionalFormatting>
      </x14:conditionalFormattings>
    </ext>
    <ext xmlns:x14="http://schemas.microsoft.com/office/spreadsheetml/2009/9/main" uri="{CCE6A557-97BC-4b89-ADB6-D9C93CAAB3DF}">
      <x14:dataValidations xmlns:xm="http://schemas.microsoft.com/office/excel/2006/main" disablePrompts="1" count="2">
        <x14:dataValidation type="decimal" allowBlank="1" xr:uid="{BFFC71E3-390D-4C78-99F6-9F86D72796C2}">
          <x14:formula1>
            <xm:f>Data!C12</xm:f>
          </x14:formula1>
          <x14:formula2>
            <xm:f>S16</xm:f>
          </x14:formula2>
          <xm:sqref>I25</xm:sqref>
        </x14:dataValidation>
        <x14:dataValidation type="decimal" allowBlank="1" showInputMessage="1" showErrorMessage="1" error="El importe de la aportación personal que ha introducido no respeta los límites de inversión." xr:uid="{F5EB6871-25F6-4BB7-9E4D-7D85A4C6C8FB}">
          <x14:formula1>
            <xm:f>Data!C17</xm:f>
          </x14:formula1>
          <x14:formula2>
            <xm:f>Q16</xm:f>
          </x14:formula2>
          <xm:sqref>H25:H27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B1:I60"/>
  <sheetViews>
    <sheetView zoomScale="115" zoomScaleNormal="115" workbookViewId="0">
      <selection activeCell="H27" sqref="H27"/>
    </sheetView>
  </sheetViews>
  <sheetFormatPr baseColWidth="10" defaultColWidth="12" defaultRowHeight="11.25" x14ac:dyDescent="0.2"/>
  <cols>
    <col min="1" max="1" width="4.83203125" style="1" customWidth="1"/>
    <col min="2" max="2" width="26.83203125" style="1" customWidth="1"/>
    <col min="3" max="3" width="17.33203125" style="1" customWidth="1"/>
    <col min="4" max="4" width="12" style="1"/>
    <col min="5" max="5" width="14.6640625" style="1" customWidth="1"/>
    <col min="6" max="6" width="16.5" style="1" bestFit="1" customWidth="1"/>
    <col min="7" max="7" width="15.6640625" style="1" customWidth="1"/>
    <col min="8" max="8" width="28" style="1" bestFit="1" customWidth="1"/>
    <col min="9" max="9" width="19.6640625" style="1" customWidth="1"/>
    <col min="10" max="10" width="16.6640625" style="1" bestFit="1" customWidth="1"/>
    <col min="11" max="12" width="17.5" style="1" bestFit="1" customWidth="1"/>
    <col min="13" max="16384" width="12" style="1"/>
  </cols>
  <sheetData>
    <row r="1" spans="2:4" x14ac:dyDescent="0.2">
      <c r="C1" s="39"/>
    </row>
    <row r="2" spans="2:4" x14ac:dyDescent="0.2">
      <c r="B2" s="42" t="s">
        <v>84</v>
      </c>
      <c r="C2" s="80" t="s">
        <v>70</v>
      </c>
    </row>
    <row r="3" spans="2:4" x14ac:dyDescent="0.2">
      <c r="B3" s="42" t="s">
        <v>31</v>
      </c>
      <c r="C3" s="77" t="str">
        <f>INDEX(C36:C60,MATCH(C2,B36:B60,0),1)</f>
        <v>PEN</v>
      </c>
    </row>
    <row r="4" spans="2:4" x14ac:dyDescent="0.2">
      <c r="B4" s="42" t="s">
        <v>28</v>
      </c>
      <c r="C4" s="77"/>
    </row>
    <row r="5" spans="2:4" x14ac:dyDescent="0.2">
      <c r="B5" s="42" t="str">
        <f>IF(C3&lt;&gt;"EUR","Sens change","")</f>
        <v>Sens change</v>
      </c>
      <c r="C5" s="78" t="str">
        <f>INDEX(F36:F60,MATCH(C2,B36:B60,0),1)</f>
        <v>Ccy/EUR</v>
      </c>
    </row>
    <row r="6" spans="2:4" x14ac:dyDescent="0.2">
      <c r="B6" s="42" t="str">
        <f>IF(C3&lt;&gt;"EUR","Change initial indicatif : 1 "&amp;IF(C5="Ccy/EUR",C3,"EUR")&amp;" =","Change")</f>
        <v>Change initial indicatif : 1 PEN =</v>
      </c>
      <c r="C6" s="78">
        <f>IF(Currency_code="EUR",1,IF(C5="Ccy/EUR",ROUND(1/INDEX(E36:E60,MATCH(C2,B36:B60,0),1),2),ROUND(INDEX(E36:E60,MATCH(C2,B36:B60,0),1),0)))</f>
        <v>0.25</v>
      </c>
    </row>
    <row r="7" spans="2:4" x14ac:dyDescent="0.2">
      <c r="B7" s="42" t="s">
        <v>87</v>
      </c>
      <c r="C7" s="78" t="str">
        <f>INDEX(G36:G60,MATCH(C2,B36:B60,0),1)</f>
        <v>normal</v>
      </c>
    </row>
    <row r="9" spans="2:4" x14ac:dyDescent="0.2">
      <c r="B9" s="41" t="s">
        <v>22</v>
      </c>
      <c r="C9" s="5">
        <v>0.2</v>
      </c>
    </row>
    <row r="10" spans="2:4" x14ac:dyDescent="0.2">
      <c r="B10" s="42" t="s">
        <v>0</v>
      </c>
      <c r="C10" s="6">
        <v>5</v>
      </c>
      <c r="D10" s="37" t="s">
        <v>17</v>
      </c>
    </row>
    <row r="11" spans="2:4" x14ac:dyDescent="0.2">
      <c r="B11" s="41" t="s">
        <v>6</v>
      </c>
      <c r="C11" s="79">
        <f>INDEX(I36:I60,MATCH(C2,B36:B60,0),1)</f>
        <v>5.7</v>
      </c>
    </row>
    <row r="12" spans="2:4" x14ac:dyDescent="0.2">
      <c r="B12" s="42" t="s">
        <v>7</v>
      </c>
      <c r="C12" s="7">
        <v>44768</v>
      </c>
    </row>
    <row r="13" spans="2:4" x14ac:dyDescent="0.2">
      <c r="B13" s="42" t="s">
        <v>9</v>
      </c>
      <c r="C13" s="7">
        <v>46594</v>
      </c>
    </row>
    <row r="14" spans="2:4" x14ac:dyDescent="0.2">
      <c r="B14" s="42" t="s">
        <v>18</v>
      </c>
      <c r="C14" s="8">
        <f>(C13-C12)/365</f>
        <v>5.0027397260273974</v>
      </c>
    </row>
    <row r="16" spans="2:4" x14ac:dyDescent="0.2">
      <c r="B16" s="42" t="s">
        <v>29</v>
      </c>
      <c r="C16" s="9">
        <v>10</v>
      </c>
    </row>
    <row r="17" spans="2:6" x14ac:dyDescent="0.2">
      <c r="B17" s="42" t="s">
        <v>30</v>
      </c>
      <c r="C17" s="239">
        <f>IF(Currency_code="EUR",APmin,IF(Hyp_initialFX="",ROUNDUP(APmin*IF(Currency_par="Ccy/EUR",1/Currency_initialFX,Currency_initialFX),2),ROUNDUP(APmin*IF(Currency_par="Ccy/EUR",1/Hyp_initialFX,Hyp_initialFX),2)))</f>
        <v>40</v>
      </c>
    </row>
    <row r="20" spans="2:6" x14ac:dyDescent="0.2">
      <c r="B20" s="40" t="s">
        <v>15</v>
      </c>
    </row>
    <row r="21" spans="2:6" x14ac:dyDescent="0.2">
      <c r="B21" s="43" t="s">
        <v>16</v>
      </c>
      <c r="C21" s="43" t="s">
        <v>3</v>
      </c>
      <c r="D21" s="43" t="s">
        <v>4</v>
      </c>
      <c r="E21" s="44" t="s">
        <v>10</v>
      </c>
      <c r="F21" s="43" t="s">
        <v>5</v>
      </c>
    </row>
    <row r="22" spans="2:6" x14ac:dyDescent="0.2">
      <c r="B22" s="45" t="s">
        <v>1</v>
      </c>
      <c r="C22" s="10">
        <v>0</v>
      </c>
      <c r="D22" s="10">
        <v>250</v>
      </c>
      <c r="E22" s="11">
        <v>0.6</v>
      </c>
      <c r="F22" s="12">
        <f>(D22-C22)*E22</f>
        <v>150</v>
      </c>
    </row>
    <row r="23" spans="2:6" x14ac:dyDescent="0.2">
      <c r="B23" s="45" t="s">
        <v>2</v>
      </c>
      <c r="C23" s="12">
        <f>D22</f>
        <v>250</v>
      </c>
      <c r="D23" s="10">
        <v>4000</v>
      </c>
      <c r="E23" s="11">
        <v>0</v>
      </c>
      <c r="F23" s="12">
        <f>(D23-C23)*E23</f>
        <v>0</v>
      </c>
    </row>
    <row r="24" spans="2:6" x14ac:dyDescent="0.2">
      <c r="C24" s="38"/>
      <c r="D24" s="38"/>
      <c r="E24" s="38"/>
      <c r="F24" s="13">
        <f>F22+F23</f>
        <v>150</v>
      </c>
    </row>
    <row r="26" spans="2:6" x14ac:dyDescent="0.2">
      <c r="B26" s="40" t="s">
        <v>90</v>
      </c>
    </row>
    <row r="27" spans="2:6" x14ac:dyDescent="0.2">
      <c r="B27" s="91" t="s">
        <v>33</v>
      </c>
      <c r="C27" s="81" t="s">
        <v>6</v>
      </c>
    </row>
    <row r="28" spans="2:6" x14ac:dyDescent="0.2">
      <c r="B28" s="92" t="s">
        <v>41</v>
      </c>
      <c r="C28" s="93">
        <v>5.7</v>
      </c>
    </row>
    <row r="29" spans="2:6" x14ac:dyDescent="0.2">
      <c r="B29" s="94" t="s">
        <v>39</v>
      </c>
      <c r="C29" s="93">
        <v>5.0999999999999996</v>
      </c>
    </row>
    <row r="30" spans="2:6" x14ac:dyDescent="0.2">
      <c r="B30" s="94" t="s">
        <v>53</v>
      </c>
      <c r="C30" s="93">
        <v>8.5</v>
      </c>
    </row>
    <row r="31" spans="2:6" x14ac:dyDescent="0.2">
      <c r="B31" s="94" t="s">
        <v>36</v>
      </c>
      <c r="C31" s="93">
        <v>3.5</v>
      </c>
    </row>
    <row r="32" spans="2:6" x14ac:dyDescent="0.2">
      <c r="B32" s="95" t="s">
        <v>48</v>
      </c>
      <c r="C32" s="96">
        <v>3.5</v>
      </c>
    </row>
    <row r="35" spans="2:9" s="85" customFormat="1" ht="22.5" x14ac:dyDescent="0.2">
      <c r="B35" s="83" t="s">
        <v>32</v>
      </c>
      <c r="C35" s="84" t="s">
        <v>83</v>
      </c>
      <c r="D35" s="84" t="s">
        <v>82</v>
      </c>
      <c r="E35" s="81" t="s">
        <v>85</v>
      </c>
      <c r="F35" s="84" t="s">
        <v>86</v>
      </c>
      <c r="G35" s="81" t="s">
        <v>87</v>
      </c>
      <c r="H35" s="81" t="s">
        <v>34</v>
      </c>
      <c r="I35" s="81" t="s">
        <v>6</v>
      </c>
    </row>
    <row r="36" spans="2:9" s="88" customFormat="1" x14ac:dyDescent="0.2">
      <c r="B36" s="86" t="s">
        <v>35</v>
      </c>
      <c r="C36" s="87" t="s">
        <v>37</v>
      </c>
      <c r="E36" s="245">
        <v>1.4668699999999999</v>
      </c>
      <c r="F36" s="87" t="str">
        <f t="shared" ref="F36:F60" si="0">IF(C36="EUR","",IF(E36&gt;20,"EUR/Ccy","Ccy/EUR"))</f>
        <v>Ccy/EUR</v>
      </c>
      <c r="G36" s="87" t="s">
        <v>88</v>
      </c>
      <c r="H36" s="247" t="s">
        <v>36</v>
      </c>
      <c r="I36" s="87">
        <f>VLOOKUP(H36,$B$28:$C$32,2,FALSE)</f>
        <v>3.5</v>
      </c>
    </row>
    <row r="37" spans="2:9" s="88" customFormat="1" x14ac:dyDescent="0.2">
      <c r="B37" s="86" t="s">
        <v>38</v>
      </c>
      <c r="C37" s="87" t="s">
        <v>23</v>
      </c>
      <c r="E37" s="246" t="s">
        <v>129</v>
      </c>
      <c r="F37" s="87" t="str">
        <f t="shared" si="0"/>
        <v/>
      </c>
      <c r="G37" s="87" t="s">
        <v>88</v>
      </c>
      <c r="H37" s="247" t="s">
        <v>39</v>
      </c>
      <c r="I37" s="87">
        <f t="shared" ref="I37:I60" si="1">VLOOKUP(H37,$B$28:$C$32,2,FALSE)</f>
        <v>5.0999999999999996</v>
      </c>
    </row>
    <row r="38" spans="2:9" s="88" customFormat="1" x14ac:dyDescent="0.2">
      <c r="B38" s="86" t="s">
        <v>40</v>
      </c>
      <c r="C38" s="87" t="s">
        <v>42</v>
      </c>
      <c r="E38" s="245">
        <v>5.0174000000000003</v>
      </c>
      <c r="F38" s="87" t="str">
        <f t="shared" si="0"/>
        <v>Ccy/EUR</v>
      </c>
      <c r="G38" s="87" t="s">
        <v>88</v>
      </c>
      <c r="H38" s="89" t="s">
        <v>41</v>
      </c>
      <c r="I38" s="87">
        <f t="shared" si="1"/>
        <v>5.7</v>
      </c>
    </row>
    <row r="39" spans="2:9" s="88" customFormat="1" x14ac:dyDescent="0.2">
      <c r="B39" s="86" t="s">
        <v>43</v>
      </c>
      <c r="C39" s="87" t="s">
        <v>44</v>
      </c>
      <c r="E39" s="245">
        <v>1.3623400000000001</v>
      </c>
      <c r="F39" s="87" t="str">
        <f t="shared" si="0"/>
        <v>Ccy/EUR</v>
      </c>
      <c r="G39" s="87" t="s">
        <v>88</v>
      </c>
      <c r="H39" s="247" t="s">
        <v>39</v>
      </c>
      <c r="I39" s="87">
        <f t="shared" si="1"/>
        <v>5.0999999999999996</v>
      </c>
    </row>
    <row r="40" spans="2:9" s="88" customFormat="1" x14ac:dyDescent="0.2">
      <c r="B40" s="86" t="s">
        <v>45</v>
      </c>
      <c r="C40" s="87" t="s">
        <v>46</v>
      </c>
      <c r="E40" s="245">
        <v>883.76</v>
      </c>
      <c r="F40" s="87" t="str">
        <f t="shared" si="0"/>
        <v>EUR/Ccy</v>
      </c>
      <c r="G40" s="87" t="s">
        <v>88</v>
      </c>
      <c r="H40" s="247" t="s">
        <v>36</v>
      </c>
      <c r="I40" s="87">
        <f t="shared" si="1"/>
        <v>3.5</v>
      </c>
    </row>
    <row r="41" spans="2:9" s="88" customFormat="1" x14ac:dyDescent="0.2">
      <c r="B41" s="86" t="s">
        <v>47</v>
      </c>
      <c r="C41" s="87" t="s">
        <v>49</v>
      </c>
      <c r="E41" s="245">
        <v>7.0378999999999996</v>
      </c>
      <c r="F41" s="87" t="str">
        <f t="shared" si="0"/>
        <v>Ccy/EUR</v>
      </c>
      <c r="G41" s="87" t="s">
        <v>88</v>
      </c>
      <c r="H41" s="247" t="s">
        <v>48</v>
      </c>
      <c r="I41" s="87">
        <f t="shared" si="1"/>
        <v>3.5</v>
      </c>
    </row>
    <row r="42" spans="2:9" s="88" customFormat="1" x14ac:dyDescent="0.2">
      <c r="B42" s="86" t="s">
        <v>50</v>
      </c>
      <c r="C42" s="87" t="s">
        <v>51</v>
      </c>
      <c r="E42" s="245">
        <v>4079.08</v>
      </c>
      <c r="F42" s="87" t="str">
        <f t="shared" si="0"/>
        <v>EUR/Ccy</v>
      </c>
      <c r="G42" s="90" t="s">
        <v>89</v>
      </c>
      <c r="H42" s="247" t="s">
        <v>41</v>
      </c>
      <c r="I42" s="87">
        <f t="shared" si="1"/>
        <v>5.7</v>
      </c>
    </row>
    <row r="43" spans="2:9" s="88" customFormat="1" x14ac:dyDescent="0.2">
      <c r="B43" s="86" t="s">
        <v>52</v>
      </c>
      <c r="C43" s="87" t="s">
        <v>23</v>
      </c>
      <c r="E43" s="246" t="s">
        <v>129</v>
      </c>
      <c r="F43" s="87" t="str">
        <f t="shared" si="0"/>
        <v/>
      </c>
      <c r="G43" s="87" t="s">
        <v>88</v>
      </c>
      <c r="H43" s="247" t="s">
        <v>53</v>
      </c>
      <c r="I43" s="87">
        <f t="shared" si="1"/>
        <v>8.5</v>
      </c>
    </row>
    <row r="44" spans="2:9" s="88" customFormat="1" x14ac:dyDescent="0.2">
      <c r="B44" s="86" t="s">
        <v>54</v>
      </c>
      <c r="C44" s="87" t="s">
        <v>23</v>
      </c>
      <c r="E44" s="246" t="s">
        <v>129</v>
      </c>
      <c r="F44" s="87" t="str">
        <f t="shared" si="0"/>
        <v/>
      </c>
      <c r="G44" s="87" t="s">
        <v>88</v>
      </c>
      <c r="H44" s="82" t="s">
        <v>41</v>
      </c>
      <c r="I44" s="87">
        <f t="shared" si="1"/>
        <v>5.7</v>
      </c>
    </row>
    <row r="45" spans="2:9" s="88" customFormat="1" x14ac:dyDescent="0.2">
      <c r="B45" s="86" t="s">
        <v>55</v>
      </c>
      <c r="C45" s="87" t="s">
        <v>56</v>
      </c>
      <c r="E45" s="245">
        <v>8.2239000000000004</v>
      </c>
      <c r="F45" s="87" t="str">
        <f t="shared" si="0"/>
        <v>Ccy/EUR</v>
      </c>
      <c r="G45" s="87" t="s">
        <v>88</v>
      </c>
      <c r="H45" s="82" t="s">
        <v>41</v>
      </c>
      <c r="I45" s="87">
        <f t="shared" si="1"/>
        <v>5.7</v>
      </c>
    </row>
    <row r="46" spans="2:9" s="88" customFormat="1" x14ac:dyDescent="0.2">
      <c r="B46" s="86" t="s">
        <v>57</v>
      </c>
      <c r="C46" s="87" t="s">
        <v>23</v>
      </c>
      <c r="E46" s="246" t="s">
        <v>129</v>
      </c>
      <c r="F46" s="87" t="str">
        <f t="shared" si="0"/>
        <v/>
      </c>
      <c r="G46" s="87" t="s">
        <v>88</v>
      </c>
      <c r="H46" s="247" t="s">
        <v>36</v>
      </c>
      <c r="I46" s="87">
        <f t="shared" si="1"/>
        <v>3.5</v>
      </c>
    </row>
    <row r="47" spans="2:9" s="88" customFormat="1" x14ac:dyDescent="0.2">
      <c r="B47" s="86" t="s">
        <v>58</v>
      </c>
      <c r="C47" s="87" t="s">
        <v>23</v>
      </c>
      <c r="E47" s="246" t="s">
        <v>129</v>
      </c>
      <c r="F47" s="87" t="str">
        <f t="shared" si="0"/>
        <v/>
      </c>
      <c r="G47" s="87" t="s">
        <v>88</v>
      </c>
      <c r="H47" s="247" t="s">
        <v>36</v>
      </c>
      <c r="I47" s="87">
        <f t="shared" si="1"/>
        <v>3.5</v>
      </c>
    </row>
    <row r="48" spans="2:9" s="88" customFormat="1" x14ac:dyDescent="0.2">
      <c r="B48" s="86" t="s">
        <v>59</v>
      </c>
      <c r="C48" s="87" t="s">
        <v>60</v>
      </c>
      <c r="E48" s="245">
        <v>655.9511</v>
      </c>
      <c r="F48" s="87" t="str">
        <f t="shared" si="0"/>
        <v>EUR/Ccy</v>
      </c>
      <c r="G48" s="90" t="s">
        <v>89</v>
      </c>
      <c r="H48" s="82" t="s">
        <v>41</v>
      </c>
      <c r="I48" s="87">
        <f t="shared" si="1"/>
        <v>5.7</v>
      </c>
    </row>
    <row r="49" spans="2:9" s="88" customFormat="1" x14ac:dyDescent="0.2">
      <c r="B49" s="86" t="s">
        <v>61</v>
      </c>
      <c r="C49" s="87" t="s">
        <v>62</v>
      </c>
      <c r="E49" s="245">
        <v>139.69</v>
      </c>
      <c r="F49" s="87" t="str">
        <f t="shared" si="0"/>
        <v>EUR/Ccy</v>
      </c>
      <c r="G49" s="87" t="s">
        <v>88</v>
      </c>
      <c r="H49" s="247" t="s">
        <v>36</v>
      </c>
      <c r="I49" s="87">
        <f t="shared" si="1"/>
        <v>3.5</v>
      </c>
    </row>
    <row r="50" spans="2:9" s="88" customFormat="1" x14ac:dyDescent="0.2">
      <c r="B50" s="86" t="s">
        <v>63</v>
      </c>
      <c r="C50" s="87" t="s">
        <v>64</v>
      </c>
      <c r="E50" s="245">
        <v>1.0916999999999999</v>
      </c>
      <c r="F50" s="87" t="str">
        <f t="shared" si="0"/>
        <v>Ccy/EUR</v>
      </c>
      <c r="G50" s="87" t="s">
        <v>88</v>
      </c>
      <c r="H50" s="82" t="s">
        <v>41</v>
      </c>
      <c r="I50" s="87">
        <f t="shared" si="1"/>
        <v>5.7</v>
      </c>
    </row>
    <row r="51" spans="2:9" s="88" customFormat="1" x14ac:dyDescent="0.2">
      <c r="B51" s="86" t="s">
        <v>65</v>
      </c>
      <c r="C51" s="87" t="s">
        <v>66</v>
      </c>
      <c r="E51" s="245">
        <v>10.665100000000001</v>
      </c>
      <c r="F51" s="87" t="str">
        <f t="shared" si="0"/>
        <v>Ccy/EUR</v>
      </c>
      <c r="G51" s="87" t="s">
        <v>88</v>
      </c>
      <c r="H51" s="82" t="s">
        <v>41</v>
      </c>
      <c r="I51" s="87">
        <f t="shared" si="1"/>
        <v>5.7</v>
      </c>
    </row>
    <row r="52" spans="2:9" s="88" customFormat="1" x14ac:dyDescent="0.2">
      <c r="B52" s="86" t="s">
        <v>67</v>
      </c>
      <c r="C52" s="87" t="s">
        <v>26</v>
      </c>
      <c r="E52" s="245">
        <v>1.6074999999999999</v>
      </c>
      <c r="F52" s="87" t="str">
        <f t="shared" si="0"/>
        <v>Ccy/EUR</v>
      </c>
      <c r="G52" s="87" t="s">
        <v>88</v>
      </c>
      <c r="H52" s="82" t="s">
        <v>41</v>
      </c>
      <c r="I52" s="87">
        <f t="shared" si="1"/>
        <v>5.7</v>
      </c>
    </row>
    <row r="53" spans="2:9" s="88" customFormat="1" x14ac:dyDescent="0.2">
      <c r="B53" s="86" t="s">
        <v>68</v>
      </c>
      <c r="C53" s="87" t="s">
        <v>69</v>
      </c>
      <c r="E53" s="245">
        <v>9.5830000000000002</v>
      </c>
      <c r="F53" s="87" t="str">
        <f t="shared" si="0"/>
        <v>Ccy/EUR</v>
      </c>
      <c r="G53" s="87" t="s">
        <v>88</v>
      </c>
      <c r="H53" s="247" t="s">
        <v>39</v>
      </c>
      <c r="I53" s="87">
        <f t="shared" si="1"/>
        <v>5.0999999999999996</v>
      </c>
    </row>
    <row r="54" spans="2:9" s="88" customFormat="1" x14ac:dyDescent="0.2">
      <c r="B54" s="86" t="s">
        <v>70</v>
      </c>
      <c r="C54" s="87" t="s">
        <v>71</v>
      </c>
      <c r="E54" s="245">
        <v>4.0282999999999998</v>
      </c>
      <c r="F54" s="87" t="str">
        <f t="shared" si="0"/>
        <v>Ccy/EUR</v>
      </c>
      <c r="G54" s="87" t="s">
        <v>88</v>
      </c>
      <c r="H54" s="82" t="s">
        <v>41</v>
      </c>
      <c r="I54" s="87">
        <f t="shared" si="1"/>
        <v>5.7</v>
      </c>
    </row>
    <row r="55" spans="2:9" s="88" customFormat="1" x14ac:dyDescent="0.2">
      <c r="B55" s="86" t="s">
        <v>72</v>
      </c>
      <c r="C55" s="87" t="s">
        <v>73</v>
      </c>
      <c r="E55" s="245">
        <v>1341.96</v>
      </c>
      <c r="F55" s="87" t="str">
        <f t="shared" si="0"/>
        <v>EUR/Ccy</v>
      </c>
      <c r="G55" s="90" t="s">
        <v>89</v>
      </c>
      <c r="H55" s="247" t="s">
        <v>48</v>
      </c>
      <c r="I55" s="87">
        <f t="shared" si="1"/>
        <v>3.5</v>
      </c>
    </row>
    <row r="56" spans="2:9" s="88" customFormat="1" x14ac:dyDescent="0.2">
      <c r="B56" s="86" t="s">
        <v>74</v>
      </c>
      <c r="C56" s="87" t="s">
        <v>23</v>
      </c>
      <c r="E56" s="246" t="s">
        <v>129</v>
      </c>
      <c r="F56" s="87" t="str">
        <f t="shared" si="0"/>
        <v/>
      </c>
      <c r="G56" s="87" t="s">
        <v>88</v>
      </c>
      <c r="H56" s="82" t="s">
        <v>41</v>
      </c>
      <c r="I56" s="87">
        <f t="shared" si="1"/>
        <v>5.7</v>
      </c>
    </row>
    <row r="57" spans="2:9" s="88" customFormat="1" x14ac:dyDescent="0.2">
      <c r="B57" s="86" t="s">
        <v>75</v>
      </c>
      <c r="C57" s="87" t="s">
        <v>76</v>
      </c>
      <c r="E57" s="245">
        <v>10.261200000000001</v>
      </c>
      <c r="F57" s="87" t="str">
        <f t="shared" si="0"/>
        <v>Ccy/EUR</v>
      </c>
      <c r="G57" s="87" t="s">
        <v>88</v>
      </c>
      <c r="H57" s="247" t="s">
        <v>48</v>
      </c>
      <c r="I57" s="87">
        <f t="shared" si="1"/>
        <v>3.5</v>
      </c>
    </row>
    <row r="58" spans="2:9" s="88" customFormat="1" x14ac:dyDescent="0.2">
      <c r="B58" s="86" t="s">
        <v>77</v>
      </c>
      <c r="C58" s="87" t="s">
        <v>78</v>
      </c>
      <c r="E58" s="245">
        <v>1.0344599999999999</v>
      </c>
      <c r="F58" s="87" t="str">
        <f t="shared" si="0"/>
        <v>Ccy/EUR</v>
      </c>
      <c r="G58" s="87" t="s">
        <v>88</v>
      </c>
      <c r="H58" s="82" t="s">
        <v>41</v>
      </c>
      <c r="I58" s="87">
        <f t="shared" si="1"/>
        <v>5.7</v>
      </c>
    </row>
    <row r="59" spans="2:9" s="88" customFormat="1" x14ac:dyDescent="0.2">
      <c r="B59" s="86" t="s">
        <v>79</v>
      </c>
      <c r="C59" s="87" t="s">
        <v>80</v>
      </c>
      <c r="E59" s="245">
        <v>16.046399999999998</v>
      </c>
      <c r="F59" s="87" t="str">
        <f t="shared" si="0"/>
        <v>Ccy/EUR</v>
      </c>
      <c r="G59" s="87" t="s">
        <v>88</v>
      </c>
      <c r="H59" s="82" t="s">
        <v>41</v>
      </c>
      <c r="I59" s="87">
        <f t="shared" si="1"/>
        <v>5.7</v>
      </c>
    </row>
    <row r="60" spans="2:9" s="88" customFormat="1" x14ac:dyDescent="0.2">
      <c r="B60" s="86" t="s">
        <v>81</v>
      </c>
      <c r="C60" s="87" t="s">
        <v>64</v>
      </c>
      <c r="E60" s="245">
        <v>1.0916999999999999</v>
      </c>
      <c r="F60" s="87" t="str">
        <f t="shared" si="0"/>
        <v>Ccy/EUR</v>
      </c>
      <c r="G60" s="87" t="s">
        <v>88</v>
      </c>
      <c r="H60" s="247" t="s">
        <v>36</v>
      </c>
      <c r="I60" s="87">
        <f t="shared" si="1"/>
        <v>3.5</v>
      </c>
    </row>
  </sheetData>
  <conditionalFormatting sqref="B35">
    <cfRule type="cellIs" dxfId="30" priority="41" stopIfTrue="1" operator="equal">
      <formula>"N"</formula>
    </cfRule>
  </conditionalFormatting>
  <conditionalFormatting sqref="B28">
    <cfRule type="expression" dxfId="29" priority="26">
      <formula>IF(B28="FCPE Nexans Plus 2022 C",TRUE,FALSE)</formula>
    </cfRule>
    <cfRule type="expression" dxfId="28" priority="27">
      <formula>IF(B28="FCPE Nexans Plus 2022 B",TRUE,FALSE)</formula>
    </cfRule>
    <cfRule type="expression" dxfId="27" priority="28">
      <formula>IF(B28="FCPE Nexans Plus 2022 A",TRUE,FALSE)</formula>
    </cfRule>
    <cfRule type="expression" dxfId="26" priority="29">
      <formula>IF(B28="Direct+SAR",TRUE,FALSE)</formula>
    </cfRule>
    <cfRule type="expression" dxfId="25" priority="30">
      <formula>IF(B28="FCPE+SAR",TRUE,FALSE)</formula>
    </cfRule>
  </conditionalFormatting>
  <conditionalFormatting sqref="B29">
    <cfRule type="expression" dxfId="24" priority="21">
      <formula>IF(B29="FCPE Nexans Plus 2022 C",TRUE,FALSE)</formula>
    </cfRule>
    <cfRule type="expression" dxfId="23" priority="22">
      <formula>IF(B29="FCPE Nexans Plus 2022 B",TRUE,FALSE)</formula>
    </cfRule>
    <cfRule type="expression" dxfId="22" priority="23">
      <formula>IF(B29="FCPE Nexans Plus 2022 A",TRUE,FALSE)</formula>
    </cfRule>
    <cfRule type="expression" dxfId="21" priority="24">
      <formula>IF(B29="Direct+SAR",TRUE,FALSE)</formula>
    </cfRule>
    <cfRule type="expression" dxfId="20" priority="25">
      <formula>IF(B29="FCPE+SAR",TRUE,FALSE)</formula>
    </cfRule>
  </conditionalFormatting>
  <conditionalFormatting sqref="B30">
    <cfRule type="expression" dxfId="19" priority="16">
      <formula>IF(B30="FCPE Nexans Plus 2022 C",TRUE,FALSE)</formula>
    </cfRule>
    <cfRule type="expression" dxfId="18" priority="17">
      <formula>IF(B30="FCPE Nexans Plus 2022 B",TRUE,FALSE)</formula>
    </cfRule>
    <cfRule type="expression" dxfId="17" priority="18">
      <formula>IF(B30="FCPE Nexans Plus 2022 A",TRUE,FALSE)</formula>
    </cfRule>
    <cfRule type="expression" dxfId="16" priority="19">
      <formula>IF(B30="Direct+SAR",TRUE,FALSE)</formula>
    </cfRule>
    <cfRule type="expression" dxfId="15" priority="20">
      <formula>IF(B30="FCPE+SAR",TRUE,FALSE)</formula>
    </cfRule>
  </conditionalFormatting>
  <conditionalFormatting sqref="B31">
    <cfRule type="expression" dxfId="14" priority="11">
      <formula>IF(B31="FCPE Nexans Plus 2022 C",TRUE,FALSE)</formula>
    </cfRule>
    <cfRule type="expression" dxfId="13" priority="12">
      <formula>IF(B31="FCPE Nexans Plus 2022 B",TRUE,FALSE)</formula>
    </cfRule>
    <cfRule type="expression" dxfId="12" priority="13">
      <formula>IF(B31="FCPE Nexans Plus 2022 A",TRUE,FALSE)</formula>
    </cfRule>
    <cfRule type="expression" dxfId="11" priority="14">
      <formula>IF(B31="Direct+SAR",TRUE,FALSE)</formula>
    </cfRule>
    <cfRule type="expression" dxfId="10" priority="15">
      <formula>IF(B31="FCPE+SAR",TRUE,FALSE)</formula>
    </cfRule>
  </conditionalFormatting>
  <conditionalFormatting sqref="B32">
    <cfRule type="expression" dxfId="9" priority="6">
      <formula>IF(B32="FCPE Nexans Plus 2022 C",TRUE,FALSE)</formula>
    </cfRule>
    <cfRule type="expression" dxfId="8" priority="7">
      <formula>IF(B32="FCPE Nexans Plus 2022 B",TRUE,FALSE)</formula>
    </cfRule>
    <cfRule type="expression" dxfId="7" priority="8">
      <formula>IF(B32="FCPE Nexans Plus 2022 A",TRUE,FALSE)</formula>
    </cfRule>
    <cfRule type="expression" dxfId="6" priority="9">
      <formula>IF(B32="Direct+SAR",TRUE,FALSE)</formula>
    </cfRule>
    <cfRule type="expression" dxfId="5" priority="10">
      <formula>IF(B32="FCPE+SAR",TRUE,FALSE)</formula>
    </cfRule>
  </conditionalFormatting>
  <conditionalFormatting sqref="H36:H60">
    <cfRule type="expression" dxfId="4" priority="1">
      <formula>IF(H36="FCPE Nexans Plus 2022 C",TRUE,FALSE)</formula>
    </cfRule>
    <cfRule type="expression" dxfId="3" priority="2">
      <formula>IF(H36="FCPE Nexans Plus 2022 B",TRUE,FALSE)</formula>
    </cfRule>
    <cfRule type="expression" dxfId="2" priority="3">
      <formula>IF(H36="FCPE Nexans Plus 2022 A",TRUE,FALSE)</formula>
    </cfRule>
    <cfRule type="expression" dxfId="1" priority="4">
      <formula>IF(H36="Direct+SAR",TRUE,FALSE)</formula>
    </cfRule>
    <cfRule type="expression" dxfId="0" priority="5">
      <formula>IF(H36="FCPE+SAR",TRUE,FALSE)</formula>
    </cfRule>
  </conditionalFormatting>
  <dataValidations count="1">
    <dataValidation type="list" allowBlank="1" showInputMessage="1" showErrorMessage="1" sqref="C2" xr:uid="{F364BEAB-C568-4F21-A1EF-589803F62FF3}">
      <formula1>$B$36:$B$60</formula1>
    </dataValidation>
  </dataValidations>
  <pageMargins left="0.7" right="0.7" top="0.75" bottom="0.75" header="0.3" footer="0.3"/>
  <pageSetup paperSize="9" orientation="portrait" r:id="rId1"/>
  <headerFooter>
    <oddFooter>&amp;L&amp;1#&amp;"Calibri"&amp;1&amp;KFFFFFFC1 - Public Natixis</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A53D-026D-452C-9DAE-E491C6FE05A1}">
  <sheetPr codeName="Feuil25">
    <pageSetUpPr autoPageBreaks="0"/>
  </sheetPr>
  <dimension ref="A2:H62"/>
  <sheetViews>
    <sheetView zoomScaleNormal="100" workbookViewId="0">
      <selection activeCell="B8" sqref="B8"/>
    </sheetView>
  </sheetViews>
  <sheetFormatPr baseColWidth="10" defaultRowHeight="12" x14ac:dyDescent="0.2"/>
  <cols>
    <col min="1" max="1" width="22.83203125" style="145" bestFit="1" customWidth="1"/>
    <col min="2" max="2" width="121.1640625" style="144" customWidth="1"/>
    <col min="3" max="3" width="9.33203125" style="144" customWidth="1"/>
    <col min="4" max="4" width="3" style="144" customWidth="1"/>
    <col min="5" max="5" width="65" style="143" customWidth="1"/>
    <col min="6" max="6" width="25" style="143" customWidth="1"/>
    <col min="7" max="7" width="14.1640625" style="143" customWidth="1"/>
    <col min="8" max="8" width="20.83203125" style="143" customWidth="1"/>
    <col min="9" max="16384" width="12" style="143"/>
  </cols>
  <sheetData>
    <row r="2" spans="1:8" ht="15" x14ac:dyDescent="0.25">
      <c r="A2" s="143"/>
      <c r="B2" s="161" t="s">
        <v>127</v>
      </c>
      <c r="C2" s="162" t="s">
        <v>126</v>
      </c>
      <c r="E2" s="161" t="s">
        <v>125</v>
      </c>
      <c r="F2" s="161"/>
      <c r="G2" s="161"/>
      <c r="H2" s="161"/>
    </row>
    <row r="3" spans="1:8" x14ac:dyDescent="0.2">
      <c r="A3" s="190" t="s">
        <v>101</v>
      </c>
      <c r="B3" s="181" t="s">
        <v>138</v>
      </c>
      <c r="C3" s="160"/>
    </row>
    <row r="4" spans="1:8" s="159" customFormat="1" ht="24" customHeight="1" x14ac:dyDescent="0.2">
      <c r="A4" s="191" t="s">
        <v>124</v>
      </c>
      <c r="B4" s="178" t="s">
        <v>139</v>
      </c>
      <c r="C4" s="153"/>
      <c r="D4" s="153"/>
    </row>
    <row r="5" spans="1:8" x14ac:dyDescent="0.2">
      <c r="A5" s="192"/>
      <c r="B5" s="182"/>
    </row>
    <row r="6" spans="1:8" x14ac:dyDescent="0.2">
      <c r="A6" s="190" t="s">
        <v>123</v>
      </c>
      <c r="B6" s="177" t="s">
        <v>140</v>
      </c>
      <c r="C6" s="152"/>
    </row>
    <row r="7" spans="1:8" ht="48" customHeight="1" x14ac:dyDescent="0.2">
      <c r="A7" s="193"/>
      <c r="B7" s="178" t="s">
        <v>190</v>
      </c>
      <c r="C7" s="152"/>
    </row>
    <row r="8" spans="1:8" s="1" customFormat="1" ht="24" customHeight="1" x14ac:dyDescent="0.2">
      <c r="A8" s="194"/>
      <c r="B8" s="179"/>
      <c r="C8" s="164"/>
      <c r="D8" s="165"/>
    </row>
    <row r="9" spans="1:8" x14ac:dyDescent="0.2">
      <c r="A9" s="195" t="s">
        <v>122</v>
      </c>
      <c r="B9" s="178" t="s">
        <v>177</v>
      </c>
      <c r="C9" s="155"/>
    </row>
    <row r="10" spans="1:8" x14ac:dyDescent="0.2">
      <c r="A10" s="195" t="s">
        <v>121</v>
      </c>
      <c r="B10" s="180" t="s">
        <v>141</v>
      </c>
      <c r="C10" s="155"/>
    </row>
    <row r="11" spans="1:8" ht="24" x14ac:dyDescent="0.2">
      <c r="A11" s="195" t="s">
        <v>120</v>
      </c>
      <c r="B11" s="180" t="s">
        <v>178</v>
      </c>
      <c r="C11" s="155"/>
      <c r="E11" s="230" t="s">
        <v>185</v>
      </c>
      <c r="F11" s="1"/>
    </row>
    <row r="12" spans="1:8" s="1" customFormat="1" ht="48" customHeight="1" x14ac:dyDescent="0.2">
      <c r="A12" s="273" t="s">
        <v>119</v>
      </c>
      <c r="B12" s="183" t="s">
        <v>142</v>
      </c>
      <c r="C12" s="280" t="s">
        <v>106</v>
      </c>
      <c r="D12" s="165"/>
      <c r="E12" s="278" t="s">
        <v>168</v>
      </c>
      <c r="F12" s="282" t="s">
        <v>169</v>
      </c>
    </row>
    <row r="13" spans="1:8" s="1" customFormat="1" ht="54.75" customHeight="1" x14ac:dyDescent="0.2">
      <c r="A13" s="274"/>
      <c r="B13" s="184"/>
      <c r="C13" s="281"/>
      <c r="D13" s="165"/>
      <c r="E13" s="279"/>
      <c r="F13" s="283"/>
    </row>
    <row r="14" spans="1:8" s="1" customFormat="1" ht="24" customHeight="1" x14ac:dyDescent="0.2">
      <c r="A14" s="194"/>
      <c r="B14" s="179"/>
      <c r="C14" s="164"/>
      <c r="D14" s="165"/>
      <c r="E14" s="166"/>
      <c r="F14" s="166"/>
    </row>
    <row r="15" spans="1:8" s="1" customFormat="1" x14ac:dyDescent="0.2">
      <c r="A15" s="196"/>
      <c r="B15" s="179"/>
      <c r="C15" s="164"/>
      <c r="D15" s="165"/>
    </row>
    <row r="16" spans="1:8" x14ac:dyDescent="0.2">
      <c r="A16" s="197" t="s">
        <v>118</v>
      </c>
      <c r="B16" s="178" t="s">
        <v>143</v>
      </c>
      <c r="C16" s="148" t="s">
        <v>106</v>
      </c>
    </row>
    <row r="17" spans="1:8" ht="28.5" customHeight="1" x14ac:dyDescent="0.2">
      <c r="A17" s="154"/>
      <c r="B17" s="153"/>
      <c r="C17" s="155"/>
    </row>
    <row r="18" spans="1:8" x14ac:dyDescent="0.2">
      <c r="A18" s="190"/>
      <c r="B18" s="209" t="s">
        <v>144</v>
      </c>
      <c r="C18" s="152"/>
    </row>
    <row r="19" spans="1:8" ht="24" x14ac:dyDescent="0.2">
      <c r="A19" s="193"/>
      <c r="B19" s="210" t="s">
        <v>145</v>
      </c>
      <c r="C19" s="152"/>
    </row>
    <row r="20" spans="1:8" ht="60" x14ac:dyDescent="0.2">
      <c r="A20" s="198" t="s">
        <v>117</v>
      </c>
      <c r="B20" s="210" t="s">
        <v>146</v>
      </c>
      <c r="C20" s="150" t="s">
        <v>106</v>
      </c>
      <c r="E20" s="167" t="str">
        <f>E21&amp;" "&amp;E22&amp;" "&amp;E23&amp;" "&amp;E24&amp;"."</f>
        <v>Ingresa el monto que deseas invertir en Act 2022.
Advertencia: tu aportación personal debe ser al menos igual a PEN 40,00 (correspondiente a la aportación personal mínima en Act 2022 de 10 €) y como máximo igual a X.</v>
      </c>
      <c r="F20" s="167" t="str">
        <f>F21</f>
        <v>El importe de la aportación personal que ha introducido no respeta los límites de inversión.</v>
      </c>
      <c r="G20" s="167" t="str">
        <f>G21&amp;" "&amp;G22&amp;" "&amp;G23&amp;"."</f>
        <v>No puedes invertir más de X en Act 2022.</v>
      </c>
      <c r="H20" s="167" t="str">
        <f>H21</f>
        <v>Primero ingrese el monto de tu compensación anual bruta estimada para 2022.</v>
      </c>
    </row>
    <row r="21" spans="1:8" ht="48" customHeight="1" x14ac:dyDescent="0.2">
      <c r="A21" s="198" t="s">
        <v>117</v>
      </c>
      <c r="B21" s="211" t="s">
        <v>147</v>
      </c>
      <c r="C21" s="148" t="s">
        <v>104</v>
      </c>
      <c r="E21" s="231" t="s">
        <v>189</v>
      </c>
      <c r="F21" s="270" t="s">
        <v>174</v>
      </c>
      <c r="G21" s="233" t="s">
        <v>171</v>
      </c>
      <c r="H21" s="270" t="s">
        <v>173</v>
      </c>
    </row>
    <row r="22" spans="1:8" x14ac:dyDescent="0.2">
      <c r="A22" s="199" t="s">
        <v>96</v>
      </c>
      <c r="B22" s="210" t="s">
        <v>148</v>
      </c>
      <c r="C22" s="148" t="s">
        <v>106</v>
      </c>
      <c r="E22" s="220" t="str">
        <f>IF(Currency_code="EUR",FIXED(APmin_devise,2)&amp;" €",Currency_code&amp;" "&amp;FIXED(APmin_devise,2))</f>
        <v>PEN 40,00</v>
      </c>
      <c r="F22" s="271"/>
      <c r="G22" s="189" t="str">
        <f>E24</f>
        <v>X</v>
      </c>
      <c r="H22" s="271"/>
    </row>
    <row r="23" spans="1:8" ht="24" x14ac:dyDescent="0.2">
      <c r="A23" s="200" t="s">
        <v>130</v>
      </c>
      <c r="B23" s="210" t="s">
        <v>186</v>
      </c>
      <c r="C23" s="150" t="s">
        <v>23</v>
      </c>
      <c r="E23" s="232" t="s">
        <v>170</v>
      </c>
      <c r="F23" s="271"/>
      <c r="G23" s="234" t="s">
        <v>172</v>
      </c>
      <c r="H23" s="271"/>
    </row>
    <row r="24" spans="1:8" x14ac:dyDescent="0.2">
      <c r="A24" s="200" t="s">
        <v>131</v>
      </c>
      <c r="B24" s="210" t="s">
        <v>187</v>
      </c>
      <c r="C24" s="148" t="s">
        <v>23</v>
      </c>
      <c r="E24" s="221" t="str">
        <f>IF(PlafondApport="","X",IF(Currency_code="EUR",FIXED(PlafondApport,2)&amp;" €",Currency_code&amp;" "&amp;FIXED(PlafondApport,2)))</f>
        <v>X</v>
      </c>
      <c r="F24" s="272"/>
      <c r="G24" s="185"/>
      <c r="H24" s="272"/>
    </row>
    <row r="25" spans="1:8" x14ac:dyDescent="0.2">
      <c r="A25" s="200" t="s">
        <v>132</v>
      </c>
      <c r="B25" s="210" t="s">
        <v>188</v>
      </c>
      <c r="C25" s="148" t="s">
        <v>23</v>
      </c>
    </row>
    <row r="26" spans="1:8" ht="12" customHeight="1" thickBot="1" x14ac:dyDescent="0.25">
      <c r="A26" s="201" t="s">
        <v>116</v>
      </c>
      <c r="B26" s="212" t="s">
        <v>149</v>
      </c>
      <c r="C26" s="158"/>
    </row>
    <row r="27" spans="1:8" ht="12" customHeight="1" x14ac:dyDescent="0.2">
      <c r="A27" s="202" t="s">
        <v>115</v>
      </c>
      <c r="B27" s="213" t="s">
        <v>150</v>
      </c>
      <c r="C27" s="157" t="s">
        <v>104</v>
      </c>
    </row>
    <row r="28" spans="1:8" ht="12" customHeight="1" x14ac:dyDescent="0.2">
      <c r="A28" s="203" t="s">
        <v>114</v>
      </c>
      <c r="B28" s="210" t="s">
        <v>151</v>
      </c>
      <c r="C28" s="150" t="s">
        <v>104</v>
      </c>
    </row>
    <row r="29" spans="1:8" ht="12" customHeight="1" x14ac:dyDescent="0.2">
      <c r="A29" s="204" t="s">
        <v>113</v>
      </c>
      <c r="B29" s="210" t="s">
        <v>152</v>
      </c>
    </row>
    <row r="30" spans="1:8" ht="12" customHeight="1" x14ac:dyDescent="0.2">
      <c r="A30" s="197" t="s">
        <v>112</v>
      </c>
      <c r="B30" s="210" t="s">
        <v>153</v>
      </c>
      <c r="C30" s="275" t="s">
        <v>23</v>
      </c>
    </row>
    <row r="31" spans="1:8" ht="12" customHeight="1" x14ac:dyDescent="0.2">
      <c r="A31" s="273" t="s">
        <v>111</v>
      </c>
      <c r="B31" s="214" t="s">
        <v>154</v>
      </c>
      <c r="C31" s="276"/>
    </row>
    <row r="32" spans="1:8" ht="12" customHeight="1" x14ac:dyDescent="0.2">
      <c r="A32" s="274"/>
      <c r="B32" s="213" t="s">
        <v>155</v>
      </c>
      <c r="C32" s="277"/>
    </row>
    <row r="33" spans="1:5" ht="12" customHeight="1" x14ac:dyDescent="0.2">
      <c r="A33" s="199" t="s">
        <v>110</v>
      </c>
      <c r="B33" s="210" t="s">
        <v>156</v>
      </c>
      <c r="C33" s="148" t="s">
        <v>23</v>
      </c>
    </row>
    <row r="34" spans="1:5" ht="12" customHeight="1" x14ac:dyDescent="0.2">
      <c r="A34" s="205" t="s">
        <v>133</v>
      </c>
      <c r="B34" s="215" t="s">
        <v>157</v>
      </c>
      <c r="C34" s="148" t="s">
        <v>23</v>
      </c>
      <c r="D34" s="152"/>
    </row>
    <row r="35" spans="1:5" ht="12" customHeight="1" x14ac:dyDescent="0.2">
      <c r="A35" s="204" t="s">
        <v>109</v>
      </c>
      <c r="B35" s="210" t="s">
        <v>158</v>
      </c>
      <c r="C35" s="143"/>
    </row>
    <row r="36" spans="1:5" ht="12" customHeight="1" x14ac:dyDescent="0.2">
      <c r="A36" s="204" t="s">
        <v>108</v>
      </c>
      <c r="B36" s="210" t="s">
        <v>159</v>
      </c>
      <c r="C36" s="155"/>
    </row>
    <row r="37" spans="1:5" ht="24" x14ac:dyDescent="0.2">
      <c r="A37" s="200" t="s">
        <v>134</v>
      </c>
      <c r="B37" s="210" t="s">
        <v>179</v>
      </c>
      <c r="C37" s="152"/>
      <c r="E37" s="235" t="s">
        <v>175</v>
      </c>
    </row>
    <row r="38" spans="1:5" ht="12" customHeight="1" x14ac:dyDescent="0.2">
      <c r="A38" s="200" t="s">
        <v>135</v>
      </c>
      <c r="B38" s="210" t="s">
        <v>180</v>
      </c>
      <c r="C38" s="150" t="s">
        <v>23</v>
      </c>
      <c r="E38" s="235" t="s">
        <v>176</v>
      </c>
    </row>
    <row r="39" spans="1:5" ht="12" customHeight="1" x14ac:dyDescent="0.2">
      <c r="A39" s="206" t="s">
        <v>135</v>
      </c>
      <c r="B39" s="214" t="s">
        <v>160</v>
      </c>
      <c r="C39" s="156"/>
    </row>
    <row r="40" spans="1:5" ht="12" customHeight="1" x14ac:dyDescent="0.2">
      <c r="A40" s="206" t="s">
        <v>135</v>
      </c>
      <c r="B40" s="216" t="s">
        <v>181</v>
      </c>
      <c r="C40" s="156"/>
    </row>
    <row r="41" spans="1:5" ht="12" customHeight="1" x14ac:dyDescent="0.2">
      <c r="A41" s="206" t="s">
        <v>135</v>
      </c>
      <c r="B41" s="217" t="s">
        <v>161</v>
      </c>
      <c r="C41" s="156"/>
    </row>
    <row r="42" spans="1:5" ht="12" customHeight="1" x14ac:dyDescent="0.2">
      <c r="A42" s="206" t="s">
        <v>135</v>
      </c>
      <c r="B42" s="216" t="s">
        <v>182</v>
      </c>
      <c r="C42" s="156"/>
    </row>
    <row r="43" spans="1:5" ht="12" customHeight="1" x14ac:dyDescent="0.2">
      <c r="A43" s="206" t="s">
        <v>135</v>
      </c>
      <c r="B43" s="217" t="s">
        <v>161</v>
      </c>
      <c r="C43" s="156"/>
    </row>
    <row r="44" spans="1:5" ht="12" customHeight="1" x14ac:dyDescent="0.2">
      <c r="A44" s="194"/>
      <c r="B44" s="179"/>
      <c r="C44" s="143"/>
    </row>
    <row r="45" spans="1:5" ht="12" customHeight="1" x14ac:dyDescent="0.2">
      <c r="A45" s="194"/>
      <c r="B45" s="179"/>
      <c r="C45" s="143"/>
    </row>
    <row r="46" spans="1:5" ht="12" customHeight="1" x14ac:dyDescent="0.2">
      <c r="A46" s="207" t="s">
        <v>107</v>
      </c>
      <c r="B46" s="215" t="s">
        <v>183</v>
      </c>
      <c r="C46" s="148" t="s">
        <v>106</v>
      </c>
    </row>
    <row r="47" spans="1:5" ht="12" customHeight="1" x14ac:dyDescent="0.2">
      <c r="A47" s="207" t="s">
        <v>105</v>
      </c>
      <c r="B47" s="215" t="s">
        <v>162</v>
      </c>
      <c r="C47" s="148" t="s">
        <v>104</v>
      </c>
    </row>
    <row r="48" spans="1:5" ht="12" customHeight="1" x14ac:dyDescent="0.2">
      <c r="A48" s="207" t="s">
        <v>103</v>
      </c>
      <c r="B48" s="215" t="s">
        <v>163</v>
      </c>
      <c r="C48" s="148" t="str">
        <f>B49</f>
        <v>%/año</v>
      </c>
    </row>
    <row r="49" spans="1:7" ht="12" customHeight="1" x14ac:dyDescent="0.2">
      <c r="A49" s="207" t="s">
        <v>103</v>
      </c>
      <c r="B49" s="215" t="s">
        <v>164</v>
      </c>
      <c r="C49" s="155"/>
    </row>
    <row r="50" spans="1:7" x14ac:dyDescent="0.2">
      <c r="A50" s="192"/>
      <c r="B50" s="218"/>
      <c r="C50" s="152"/>
      <c r="G50" s="144"/>
    </row>
    <row r="51" spans="1:7" x14ac:dyDescent="0.2">
      <c r="A51" s="208" t="s">
        <v>102</v>
      </c>
      <c r="B51" s="219" t="s">
        <v>165</v>
      </c>
      <c r="C51" s="152"/>
      <c r="G51" s="144"/>
    </row>
    <row r="52" spans="1:7" ht="24" x14ac:dyDescent="0.2">
      <c r="A52" s="208"/>
      <c r="B52" s="213" t="s">
        <v>166</v>
      </c>
      <c r="C52" s="152"/>
      <c r="G52" s="144"/>
    </row>
    <row r="53" spans="1:7" x14ac:dyDescent="0.2">
      <c r="A53" s="192"/>
      <c r="B53" s="218"/>
      <c r="C53" s="152"/>
      <c r="G53" s="144"/>
    </row>
    <row r="54" spans="1:7" x14ac:dyDescent="0.2">
      <c r="A54" s="193" t="s">
        <v>100</v>
      </c>
      <c r="B54" s="209" t="s">
        <v>167</v>
      </c>
      <c r="C54" s="152"/>
      <c r="G54" s="144"/>
    </row>
    <row r="55" spans="1:7" ht="132" x14ac:dyDescent="0.2">
      <c r="A55" s="193" t="s">
        <v>128</v>
      </c>
      <c r="B55" s="210" t="s">
        <v>184</v>
      </c>
      <c r="C55" s="152"/>
      <c r="G55" s="144"/>
    </row>
    <row r="56" spans="1:7" x14ac:dyDescent="0.2">
      <c r="C56" s="152"/>
    </row>
    <row r="57" spans="1:7" x14ac:dyDescent="0.2">
      <c r="A57" s="163" t="s">
        <v>97</v>
      </c>
    </row>
    <row r="58" spans="1:7" x14ac:dyDescent="0.2">
      <c r="A58" s="151" t="s">
        <v>99</v>
      </c>
      <c r="C58" s="150" t="s">
        <v>98</v>
      </c>
      <c r="G58" s="144"/>
    </row>
    <row r="59" spans="1:7" ht="12" customHeight="1" x14ac:dyDescent="0.2">
      <c r="A59" s="149" t="s">
        <v>96</v>
      </c>
      <c r="C59" s="148" t="s">
        <v>95</v>
      </c>
      <c r="D59" s="143"/>
      <c r="G59" s="144"/>
    </row>
    <row r="60" spans="1:7" x14ac:dyDescent="0.2">
      <c r="A60" s="147" t="s">
        <v>94</v>
      </c>
      <c r="G60" s="144"/>
    </row>
    <row r="61" spans="1:7" x14ac:dyDescent="0.2">
      <c r="A61" s="146" t="s">
        <v>93</v>
      </c>
    </row>
    <row r="62" spans="1:7" x14ac:dyDescent="0.2">
      <c r="A62" s="186"/>
    </row>
  </sheetData>
  <mergeCells count="8">
    <mergeCell ref="H21:H24"/>
    <mergeCell ref="A31:A32"/>
    <mergeCell ref="C30:C32"/>
    <mergeCell ref="E12:E13"/>
    <mergeCell ref="A12:A13"/>
    <mergeCell ref="C12:C13"/>
    <mergeCell ref="F21:F24"/>
    <mergeCell ref="F12:F13"/>
  </mergeCells>
  <pageMargins left="0.7" right="0.7" top="0.75" bottom="0.75" header="0.3" footer="0.3"/>
  <pageSetup paperSize="9" orientation="portrait" r:id="rId1"/>
  <headerFooter>
    <oddFooter>&amp;L&amp;1#&amp;"Calibri"&amp;1&amp;KFFFFFFC1 - Public Natixis</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52</vt:i4>
      </vt:variant>
    </vt:vector>
  </HeadingPairs>
  <TitlesOfParts>
    <vt:vector size="53" baseType="lpstr">
      <vt:lpstr>Main</vt:lpstr>
      <vt:lpstr>Abondement_devise</vt:lpstr>
      <vt:lpstr>Abondement_EUR</vt:lpstr>
      <vt:lpstr>Amount1</vt:lpstr>
      <vt:lpstr>Amount2</vt:lpstr>
      <vt:lpstr>Amount3</vt:lpstr>
      <vt:lpstr>Amount4</vt:lpstr>
      <vt:lpstr>APmin</vt:lpstr>
      <vt:lpstr>APmin_devise</vt:lpstr>
      <vt:lpstr>Apport</vt:lpstr>
      <vt:lpstr>ApportEUR</vt:lpstr>
      <vt:lpstr>Avoirs_1</vt:lpstr>
      <vt:lpstr>Avoirs_2</vt:lpstr>
      <vt:lpstr>AvoirsTotaux</vt:lpstr>
      <vt:lpstr>AvoirsTotauxEUR</vt:lpstr>
      <vt:lpstr>Blocage</vt:lpstr>
      <vt:lpstr>ColumnsWidth</vt:lpstr>
      <vt:lpstr>Currency_code</vt:lpstr>
      <vt:lpstr>Currency_initialFX</vt:lpstr>
      <vt:lpstr>Currency_name</vt:lpstr>
      <vt:lpstr>Currency_par</vt:lpstr>
      <vt:lpstr>DataColumn1</vt:lpstr>
      <vt:lpstr>DataColumn2</vt:lpstr>
      <vt:lpstr>Décote</vt:lpstr>
      <vt:lpstr>Developer_ModeTrueFalse</vt:lpstr>
      <vt:lpstr>HausseMoyenne</vt:lpstr>
      <vt:lpstr>HiddenRowsEtape1</vt:lpstr>
      <vt:lpstr>Hyp_finalFX</vt:lpstr>
      <vt:lpstr>Hyp_initialFX</vt:lpstr>
      <vt:lpstr>Levier</vt:lpstr>
      <vt:lpstr>Multiple</vt:lpstr>
      <vt:lpstr>Periode_Reservation</vt:lpstr>
      <vt:lpstr>Plafond_période2</vt:lpstr>
      <vt:lpstr>PlafondApport</vt:lpstr>
      <vt:lpstr>PlafondPEE</vt:lpstr>
      <vt:lpstr>RAB</vt:lpstr>
      <vt:lpstr>Respect_Plafond</vt:lpstr>
      <vt:lpstr>Rows_FXfinal</vt:lpstr>
      <vt:lpstr>Rows_FXinitial</vt:lpstr>
      <vt:lpstr>Rows_RSP_INT</vt:lpstr>
      <vt:lpstr>ScrollValue_CF</vt:lpstr>
      <vt:lpstr>ScrollValue_CMF</vt:lpstr>
      <vt:lpstr>StartCell</vt:lpstr>
      <vt:lpstr>UnlockedCell1</vt:lpstr>
      <vt:lpstr>User_ModeTrueFalse</vt:lpstr>
      <vt:lpstr>VBAmsg0</vt:lpstr>
      <vt:lpstr>VBAmsg1</vt:lpstr>
      <vt:lpstr>VBAmsg2</vt:lpstr>
      <vt:lpstr>VBAmsg3</vt:lpstr>
      <vt:lpstr>VBAmsg4</vt:lpstr>
      <vt:lpstr>VBAmsg5</vt:lpstr>
      <vt:lpstr>VBAmsg6</vt:lpstr>
      <vt:lpstr>VBAmsg7</vt:lpstr>
    </vt:vector>
  </TitlesOfParts>
  <Company>Natixis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Natixis</dc:creator>
  <cp:lastModifiedBy>Natixis</cp:lastModifiedBy>
  <dcterms:created xsi:type="dcterms:W3CDTF">2019-04-09T08:47:48Z</dcterms:created>
  <dcterms:modified xsi:type="dcterms:W3CDTF">2022-04-21T16:48:38Z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83a6fe-0b6e-4399-9d09-a1c8d8d5000c_Enabled">
    <vt:lpwstr>True</vt:lpwstr>
  </property>
  <property fmtid="{D5CDD505-2E9C-101B-9397-08002B2CF9AE}" pid="3" name="MSIP_Label_6e83a6fe-0b6e-4399-9d09-a1c8d8d5000c_SiteId">
    <vt:lpwstr>d5bb6d35-8a82-4329-b49a-5030bd6497ab</vt:lpwstr>
  </property>
  <property fmtid="{D5CDD505-2E9C-101B-9397-08002B2CF9AE}" pid="4" name="MSIP_Label_6e83a6fe-0b6e-4399-9d09-a1c8d8d5000c_Owner">
    <vt:lpwstr>nicolas.imhof@natixis.com</vt:lpwstr>
  </property>
  <property fmtid="{D5CDD505-2E9C-101B-9397-08002B2CF9AE}" pid="5" name="MSIP_Label_6e83a6fe-0b6e-4399-9d09-a1c8d8d5000c_SetDate">
    <vt:lpwstr>2021-03-26T14:48:30.2954194Z</vt:lpwstr>
  </property>
  <property fmtid="{D5CDD505-2E9C-101B-9397-08002B2CF9AE}" pid="6" name="MSIP_Label_6e83a6fe-0b6e-4399-9d09-a1c8d8d5000c_Name">
    <vt:lpwstr>C1 - Public Natixis</vt:lpwstr>
  </property>
  <property fmtid="{D5CDD505-2E9C-101B-9397-08002B2CF9AE}" pid="7" name="MSIP_Label_6e83a6fe-0b6e-4399-9d09-a1c8d8d5000c_Application">
    <vt:lpwstr>Microsoft Azure Information Protection</vt:lpwstr>
  </property>
  <property fmtid="{D5CDD505-2E9C-101B-9397-08002B2CF9AE}" pid="8" name="MSIP_Label_6e83a6fe-0b6e-4399-9d09-a1c8d8d5000c_ActionId">
    <vt:lpwstr>83b9a2d5-b44c-44b8-a77f-7b544f3d4f03</vt:lpwstr>
  </property>
  <property fmtid="{D5CDD505-2E9C-101B-9397-08002B2CF9AE}" pid="9" name="MSIP_Label_6e83a6fe-0b6e-4399-9d09-a1c8d8d5000c_Extended_MSFT_Method">
    <vt:lpwstr>Manual</vt:lpwstr>
  </property>
  <property fmtid="{D5CDD505-2E9C-101B-9397-08002B2CF9AE}" pid="10" name="Sensitivity">
    <vt:lpwstr>C1 - Public Natixis</vt:lpwstr>
  </property>
</Properties>
</file>